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https://bretrust-my.sharepoint.com/personal/nakul_patel_bregroup_com/Documents/Documents/"/>
    </mc:Choice>
  </mc:AlternateContent>
  <xr:revisionPtr revIDLastSave="0" documentId="8_{073D76A2-5709-490C-B4C4-AEF52DBEAEAB}" xr6:coauthVersionLast="47" xr6:coauthVersionMax="47" xr10:uidLastSave="{00000000-0000-0000-0000-000000000000}"/>
  <workbookProtection workbookAlgorithmName="SHA-512" workbookHashValue="X+mWGDzusuptYZZq+eMDWlRM4pyai2tBGt3FHObyeIK29yPBx+2FRp1YiUgFbBKqhkpoReQeyr3ADFAPyevo5A==" workbookSaltValue="I6xFb1B2ZM3cUs8q6X/5Vw==" workbookSpinCount="100000" lockStructure="1"/>
  <bookViews>
    <workbookView xWindow="-110" yWindow="-110" windowWidth="19420" windowHeight="10420" tabRatio="867" xr2:uid="{00000000-000D-0000-FFFF-FFFF00000000}"/>
  </bookViews>
  <sheets>
    <sheet name="User instructions" sheetId="29" r:id="rId1"/>
    <sheet name="NCM act and schedules" sheetId="27" state="hidden" r:id="rId2"/>
    <sheet name="Activity database" sheetId="10" r:id="rId3"/>
    <sheet name="Restaurant and cafes calculator" sheetId="26" state="hidden" r:id="rId4"/>
    <sheet name="Cineman and Theatres" sheetId="30" state="hidden" r:id="rId5"/>
    <sheet name="Leisure centres" sheetId="31" state="hidden" r:id="rId6"/>
    <sheet name="Office calculator" sheetId="14" r:id="rId7"/>
    <sheet name="Retail calculator" sheetId="25" r:id="rId8"/>
    <sheet name="Industrial calculator" sheetId="20" r:id="rId9"/>
    <sheet name="Education calculator" sheetId="21" r:id="rId10"/>
    <sheet name="Multi-residential calculator" sheetId="22" state="hidden" r:id="rId11"/>
    <sheet name="Other building type calculator" sheetId="17" r:id="rId12"/>
    <sheet name="Average flow rate calculator" sheetId="33" r:id="rId13"/>
    <sheet name="Schedule of changes" sheetId="32" r:id="rId14"/>
  </sheets>
  <externalReferences>
    <externalReference r:id="rId15"/>
    <externalReference r:id="rId16"/>
    <externalReference r:id="rId17"/>
    <externalReference r:id="rId18"/>
    <externalReference r:id="rId19"/>
  </externalReferences>
  <definedNames>
    <definedName name="_xlnm._FilterDatabase" localSheetId="2" hidden="1">'Activity database'!$A$3:$AL$3</definedName>
    <definedName name="_xlnm._FilterDatabase" localSheetId="1" hidden="1">'NCM act and schedules'!$A$8:$AD$359</definedName>
    <definedName name="clearall">'[1]Mat1 Calculator'!$F$20,'[1]Mat1 Calculator'!$F$20:$H$25,'[1]Mat1 Calculator'!$F$27:$H$32,'[1]Mat1 Calculator'!$F$34:$H$39,'[1]Mat1 Calculator'!$F$41:$H$46,'[1]Mat1 Calculator'!$F$48:$H$59,'[1]Mat1 Calculator'!$F$61:$H$66,'[1]Mat1 Calculator'!$K$20:$K$25,'[1]Mat1 Calculator'!$K$27:$K$32,'[1]Mat1 Calculator'!$K$34:$K$39,'[1]Mat1 Calculator'!$K$41:$K$46,'[1]Mat1 Calculator'!$K$48:$K$59,'[1]Mat1 Calculator'!$K$61:$K$66,'[1]Mat1 Calculator'!$M$20:$N$25,'[1]Mat1 Calculator'!$M$27:$N$32,'[1]Mat1 Calculator'!$M$34:$N$39,'[1]Mat1 Calculator'!$M$41:$N$46,'[1]Mat1 Calculator'!$M$48:$N$59,'[1]Mat1 Calculator'!$M$61:$N$66</definedName>
    <definedName name="CreditsEdu">'Activity database'!$BF$4:$BG$9</definedName>
    <definedName name="CreditsInd">'Activity database'!$BI$4:$BJ$9</definedName>
    <definedName name="CreditsOff">'Activity database'!$BO$4:$BP$9</definedName>
    <definedName name="CreditsOth">'Activity database'!$BC$4:$BD$9</definedName>
    <definedName name="CreditsRet">'Activity database'!$BL$4:$BM$9</definedName>
    <definedName name="EWclear1">[2]Mat3!$C$271,[2]Mat3!$C$271:$D$278,[2]Mat3!$G$271:$G$278,[2]Mat3!$I$271:$I$278</definedName>
    <definedName name="EWclear2">[2]Mat3!$C$285,[2]Mat3!$C$285:$D$292,[2]Mat3!$G$285:$G$292,[2]Mat3!$I$285:$I$292</definedName>
    <definedName name="EWclear3">[2]Mat3!$C$299,[2]Mat3!$C$299:$D$306,[2]Mat3!$G$299:$G$306,[2]Mat3!$I$299:$I$306</definedName>
    <definedName name="EWclear4">[2]Mat3!$C$313,[2]Mat3!$C$313:$D$320,[2]Mat3!$G$313:$G$320,[2]Mat3!$I$313:$I$320</definedName>
    <definedName name="ExcempInd">'Activity database'!$BI$10</definedName>
    <definedName name="ExempEdu">'Activity database'!$BF$10</definedName>
    <definedName name="ExempInd">'Activity database'!$BI$10</definedName>
    <definedName name="ExempOff">'Activity database'!$BO$10</definedName>
    <definedName name="ExempOth">'Activity database'!$BC$10</definedName>
    <definedName name="ExempRet">'Activity database'!$BL$10</definedName>
    <definedName name="Fclear1">[2]Mat3!$C$454,[2]Mat3!$C$454:$D$461,[2]Mat3!$G$454:$G$461,[2]Mat3!$I$454:$I$461</definedName>
    <definedName name="Fclear2">[2]Mat3!$C$468,[2]Mat3!$C$468:$D$475,[2]Mat3!$G$468:$G$475,[2]Mat3!$I$468:$I$475</definedName>
    <definedName name="Fclear3">[2]Mat3!$C$482,[2]Mat3!$C$482:$D$489,[2]Mat3!$G$482:$G$489,[2]Mat3!$I$482:$I$489</definedName>
    <definedName name="Fclear4">[2]Mat3!$C$496,[2]Mat3!$C$496:$D$503,[2]Mat3!$G$496:$G$503,[2]Mat3!$I$496:$I$503</definedName>
    <definedName name="filtervalue1a">[2]Mat3!$R$28</definedName>
    <definedName name="filtervalue2a">[2]Mat3!$R$89</definedName>
    <definedName name="filtervalue3a">[2]Mat3!$R$150</definedName>
    <definedName name="filtervalue4a">[2]Mat3!$R$211</definedName>
    <definedName name="filtervalue5a">[2]Mat3!$R$272</definedName>
    <definedName name="filtervalue6a">[2]Mat3!$R$333</definedName>
    <definedName name="filtervalue7a">[2]Mat3!$R$394</definedName>
    <definedName name="filtervalue8a">[2]Mat3!$R$455</definedName>
    <definedName name="filtervalue9a">[2]Mat3!$R$516</definedName>
    <definedName name="FSclear1">[2]Mat3!$C$393,[2]Mat3!$C$393:$D$400,[2]Mat3!$G$393:$G$400,[2]Mat3!$I$393:$I$400</definedName>
    <definedName name="FSclear2">[2]Mat3!$C$407,[2]Mat3!$C$407:$D$414,[2]Mat3!$G$407:$G$414,[2]Mat3!$I$407:$I$414</definedName>
    <definedName name="FSclear3">[2]Mat3!$C$421,[2]Mat3!$C$421:$D$428,[2]Mat3!$G$421:$G$428,[2]Mat3!$I$421:$I$428</definedName>
    <definedName name="FSclear4">[2]Mat3!$C$435,[2]Mat3!$C$435:$D$442,[2]Mat3!$G$435:$G$442,[2]Mat3!$I$435:$I$442</definedName>
    <definedName name="GFclear1">[2]Mat3!$C$88:$D$95,[2]Mat3!$G$88:$G$95,[2]Mat3!$I$88:$I$95</definedName>
    <definedName name="GFclear2">[2]Mat3!$C$102,[2]Mat3!$C$102:$D$109,[2]Mat3!$G$102:$G$109,[2]Mat3!$I$102:$I$109</definedName>
    <definedName name="GFclear3">[2]Mat3!$C$116,[2]Mat3!$C$116:$D$123,[2]Mat3!$G$116:$G$123,[2]Mat3!$I$116:$I$123</definedName>
    <definedName name="GFclear4">[2]Mat3!$C$130:$D$137,[2]Mat3!$G$130:$G$137,[2]Mat3!$I$130:$I$137</definedName>
    <definedName name="HLclear1">[2]Mat3!$C$515,[2]Mat3!$C$515:$D$522,[2]Mat3!$G$515:$G$522,[2]Mat3!$I$515:$I$522</definedName>
    <definedName name="HLclear2">[2]Mat3!$C$529,[2]Mat3!$C$529:$D$536,[2]Mat3!$G$529:$G$536,[2]Mat3!$I$529:$I$536</definedName>
    <definedName name="HLclear3">[2]Mat3!$C$543,[2]Mat3!$C$543:$D$550,[2]Mat3!$G$543:$G$550,[2]Mat3!$I$543:$I$550</definedName>
    <definedName name="HLclear4">[2]Mat3!$C$557,[2]Mat3!$C$557:$D$564,[2]Mat3!$G$557:$G$564,[2]Mat3!$I$557:$I$564</definedName>
    <definedName name="Ind_act" localSheetId="12">'[3]Industrial calculator'!$B$11</definedName>
    <definedName name="Ind_act">'Industrial calculator'!$B$13</definedName>
    <definedName name="IWclear1">[2]Mat3!$C$332,[2]Mat3!$C$332:$D$339,[2]Mat3!$G$332:$G$339,[2]Mat3!$I$332:$I$339</definedName>
    <definedName name="IWclear2">[2]Mat3!$C$346,[2]Mat3!$C$346:$D$353,[2]Mat3!$G$346:$G$353,[2]Mat3!$I$346:$I$353</definedName>
    <definedName name="IWclear3">[2]Mat3!$C$360,[2]Mat3!$C$360:$D$367,[2]Mat3!$G$360:$G$367,[2]Mat3!$I$360:$I$367</definedName>
    <definedName name="IWclear4">[2]Mat3!$C$374,[2]Mat3!$C$374:$D$381,[2]Mat3!$G$374:$G$381,[2]Mat3!$I$374:$I$381</definedName>
    <definedName name="LE45clearall" localSheetId="13">'[4]LE03&amp;LE04 Ecology Calculator 2'!$D$9:$D$47,'[4]LE03&amp;LE04 Ecology Calculator 2'!$F$9:$F$47,'[4]LE03&amp;LE04 Ecology Calculator 2'!$H$9:$H$47,'[4]LE03&amp;LE04 Ecology Calculator 2'!$K$9:$K$47</definedName>
    <definedName name="LE45clearall">'[5]LE03&amp;LE04 Ecology Calculator 2'!$E$9:$E$47,'[5]LE03&amp;LE04 Ecology Calculator 2'!$G$9:$G$47,'[5]LE03&amp;LE04 Ecology Calculator 2'!$I$9:$I$47,'[5]LE03&amp;LE04 Ecology Calculator 2'!$L$9:$L$47</definedName>
    <definedName name="LE4clearall" localSheetId="13">'[4]LE03 Ecology Calculator 1'!$D$8:$D$46,'[4]LE03 Ecology Calculator 1'!$H$8:$H$46,'[4]LE03 Ecology Calculator 1'!$K$8:$K$46</definedName>
    <definedName name="LE4clearall">'[5]LE03 Ecology Calculator 1'!$E$8:$E$46,'[5]LE03 Ecology Calculator 1'!$I$8:$I$46,'[5]LE03 Ecology Calculator 1'!$L$8:$L$46</definedName>
    <definedName name="mat1scheme">'[1]Mat1 Calculator'!$AF$20</definedName>
    <definedName name="mat1schemeselection">'[1]Mat1 Calculator'!$AH$21</definedName>
    <definedName name="mat1type">'[1]Mat1 Calculator'!$AA$13</definedName>
    <definedName name="OffExemp">'Activity database'!$BO$10</definedName>
    <definedName name="PrecipEdu">'Education calculator'!$C$10</definedName>
    <definedName name="PrecipInd">'Industrial calculator'!$C$10</definedName>
    <definedName name="Precipitation_List">'Office calculator'!$U$129:$U$132</definedName>
    <definedName name="Precipitation_zones">'Office calculator'!$U$128:$U$132</definedName>
    <definedName name="PrecipOff">'Office calculator'!$C$10</definedName>
    <definedName name="PrecipRet">'Retail calculator'!$C$10</definedName>
    <definedName name="quantnaele">'[1]Mat1 Calculator'!$AA$37</definedName>
    <definedName name="Rclear1">[2]Mat3!$C$210,[2]Mat3!$C$210:$D$217,[2]Mat3!$G$210:$G$217,[2]Mat3!$I$210:$I$217</definedName>
    <definedName name="Rclear2">[2]Mat3!$C$224,[2]Mat3!$C$224:$D$231,[2]Mat3!$G$224:$G$231,[2]Mat3!$I$224:$I$231</definedName>
    <definedName name="Rclear3">[2]Mat3!$C$238,[2]Mat3!$C$238:$D$245,[2]Mat3!$G$238:$G$245,[2]Mat3!$I$238:$I$245</definedName>
    <definedName name="Rclear4">[2]Mat3!$C$252,[2]Mat3!$C$252:$D$259,[2]Mat3!$G$252:$G$259,[2]Mat3!$I$252:$I$259</definedName>
    <definedName name="RetExemp">'Activity database'!$BL$10</definedName>
    <definedName name="SFclear1">[2]Mat3!$C$27,[2]Mat3!$C$27:$C$34,[2]Mat3!$D$27:$D$34,[2]Mat3!$G$27:$G$34,[2]Mat3!$I$27:$I$34</definedName>
    <definedName name="SFclear2">[2]Mat3!$C$41,[2]Mat3!$C$41:$C$48,[2]Mat3!$D$41:$D$48,[2]Mat3!$G$41:$G$48,[2]Mat3!$I$41:$I$48</definedName>
    <definedName name="SFclear3">[2]Mat3!$C$55,[2]Mat3!$C$55:$C$62,[2]Mat3!$D$55:$D$62,[2]Mat3!$G$55:$G$62,[2]Mat3!$I$55:$I$62</definedName>
    <definedName name="SFclear4">[2]Mat3!$C$69,[2]Mat3!$C$69:$C$76,[2]Mat3!$D$69:$D$76,[2]Mat3!$G$69:$G$76,[2]Mat3!$I$69:$I$76</definedName>
    <definedName name="Totalelements">'[1]Mat1 Calculator'!$AI$21</definedName>
    <definedName name="UFclear1">[2]Mat3!$C$149,[2]Mat3!$C$149:$D$156,[2]Mat3!$G$149:$G$156,[2]Mat3!$I$149:$I$156</definedName>
    <definedName name="UFclear2">[2]Mat3!$C$163,[2]Mat3!$C$163:$D$170,[2]Mat3!$G$163:$G$170,[2]Mat3!$I$163:$I$170</definedName>
    <definedName name="UFclear3">[2]Mat3!$C$177,[2]Mat3!$C$177:$D$184,[2]Mat3!$G$177:$G$184,[2]Mat3!$I$177:$I$184</definedName>
    <definedName name="UFclear4">[2]Mat3!$C$191,[2]Mat3!$C$191:$D$198,[2]Mat3!$G$191:$G$198,[2]Mat3!$I$191:$I$198</definedName>
    <definedName name="Wat01_building_type" localSheetId="12">#REF!</definedName>
    <definedName name="Wat01_building_type">'Other building type calculator'!$D$5</definedName>
    <definedName name="Wat01_buildingtype_range" localSheetId="12">#REF!</definedName>
    <definedName name="Wat01_buildingtype_range">'Other building type calculator'!$C$84:$O$95</definedName>
    <definedName name="Wat01_Component_type_no_list" localSheetId="12">#REF!</definedName>
    <definedName name="Wat01_Component_type_no_list">'Other building type calculator'!$C$127:$C$135</definedName>
    <definedName name="Wat01_option01" localSheetId="12">#REF!</definedName>
    <definedName name="Wat01_option01">'Other building type calculator'!$D$116</definedName>
    <definedName name="Wat01_option02" localSheetId="12">#REF!</definedName>
    <definedName name="Wat01_option02">'Other building type calculator'!$D$117</definedName>
    <definedName name="Wat01_option03" localSheetId="12">#REF!</definedName>
    <definedName name="Wat01_option03">'Other building type calculator'!$D$118</definedName>
    <definedName name="Wat01_option04" localSheetId="12">#REF!</definedName>
    <definedName name="Wat01_option04">'Other building type calculator'!$D$119</definedName>
    <definedName name="Wat01_option05" localSheetId="12">#REF!</definedName>
    <definedName name="Wat01_option05">'Other building type calculator'!$D$120</definedName>
    <definedName name="Wat01_option06" localSheetId="12">#REF!</definedName>
    <definedName name="Wat01_option06">'Other building type calculator'!$D$121</definedName>
    <definedName name="Wat01_option07" localSheetId="12">#REF!</definedName>
    <definedName name="Wat01_option07">'Other building type calculator'!$D$122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9" i="20" l="1"/>
  <c r="C20" i="21"/>
  <c r="C74" i="21"/>
  <c r="BL8" i="10"/>
  <c r="BO11" i="10"/>
  <c r="BO10" i="10"/>
  <c r="BO9" i="10"/>
  <c r="BO8" i="10"/>
  <c r="BO7" i="10"/>
  <c r="BL11" i="10"/>
  <c r="BL10" i="10"/>
  <c r="BL9" i="10"/>
  <c r="BL7" i="10"/>
  <c r="BI11" i="10"/>
  <c r="BI10" i="10"/>
  <c r="BI9" i="10"/>
  <c r="BI8" i="10"/>
  <c r="BI7" i="10"/>
  <c r="BF11" i="10"/>
  <c r="BF10" i="10"/>
  <c r="BF9" i="10"/>
  <c r="BF8" i="10"/>
  <c r="BF7" i="10"/>
  <c r="BC7" i="10"/>
  <c r="BC11" i="10"/>
  <c r="BC10" i="10"/>
  <c r="BC9" i="10"/>
  <c r="BC8" i="10"/>
  <c r="E106" i="17"/>
  <c r="E108" i="17" s="1"/>
  <c r="H106" i="17"/>
  <c r="H104" i="17" s="1"/>
  <c r="P104" i="17" s="1"/>
  <c r="G106" i="17"/>
  <c r="P84" i="17"/>
  <c r="M85" i="17" s="1"/>
  <c r="M106" i="17" s="1"/>
  <c r="G131" i="17"/>
  <c r="B68" i="14"/>
  <c r="J139" i="17"/>
  <c r="J138" i="17"/>
  <c r="S136" i="25"/>
  <c r="P136" i="25"/>
  <c r="H72" i="14"/>
  <c r="G73" i="17"/>
  <c r="I143" i="17" s="1"/>
  <c r="H13" i="33"/>
  <c r="H14" i="33"/>
  <c r="H15" i="33"/>
  <c r="H16" i="33"/>
  <c r="H17" i="33"/>
  <c r="F18" i="33"/>
  <c r="I20" i="33"/>
  <c r="G25" i="33"/>
  <c r="G30" i="33"/>
  <c r="H34" i="33" s="1"/>
  <c r="H25" i="33"/>
  <c r="H30" i="33" s="1"/>
  <c r="H32" i="33" s="1"/>
  <c r="G26" i="33"/>
  <c r="H26" i="33"/>
  <c r="G27" i="33"/>
  <c r="H27" i="33"/>
  <c r="G28" i="33"/>
  <c r="H28" i="33"/>
  <c r="G29" i="33"/>
  <c r="H29" i="33"/>
  <c r="H33" i="33"/>
  <c r="I33" i="33"/>
  <c r="I34" i="33"/>
  <c r="H38" i="33"/>
  <c r="H43" i="33" s="1"/>
  <c r="H45" i="33" s="1"/>
  <c r="H39" i="33"/>
  <c r="H40" i="33"/>
  <c r="H41" i="33"/>
  <c r="H42" i="33"/>
  <c r="F43" i="33"/>
  <c r="I45" i="33"/>
  <c r="H50" i="33"/>
  <c r="H51" i="33"/>
  <c r="H52" i="33"/>
  <c r="H53" i="33"/>
  <c r="H55" i="33" s="1"/>
  <c r="H57" i="33" s="1"/>
  <c r="H54" i="33"/>
  <c r="F55" i="33"/>
  <c r="I57" i="33" s="1"/>
  <c r="H59" i="33"/>
  <c r="H64" i="33"/>
  <c r="H65" i="33"/>
  <c r="H66" i="33"/>
  <c r="H67" i="33"/>
  <c r="H69" i="33" s="1"/>
  <c r="H71" i="33" s="1"/>
  <c r="H68" i="33"/>
  <c r="F69" i="33"/>
  <c r="H73" i="33"/>
  <c r="H78" i="33"/>
  <c r="H83" i="33" s="1"/>
  <c r="H85" i="33" s="1"/>
  <c r="H79" i="33"/>
  <c r="H80" i="33"/>
  <c r="H81" i="33"/>
  <c r="H82" i="33"/>
  <c r="F83" i="33"/>
  <c r="I85" i="33"/>
  <c r="H87" i="33"/>
  <c r="H92" i="33"/>
  <c r="H93" i="33"/>
  <c r="H94" i="33"/>
  <c r="H95" i="33"/>
  <c r="H96" i="33"/>
  <c r="H97" i="33" s="1"/>
  <c r="H99" i="33" s="1"/>
  <c r="F97" i="33"/>
  <c r="I99" i="33"/>
  <c r="H101" i="33"/>
  <c r="O21" i="17"/>
  <c r="N21" i="17"/>
  <c r="M21" i="17"/>
  <c r="L21" i="17"/>
  <c r="J21" i="17"/>
  <c r="I21" i="17"/>
  <c r="I53" i="17" s="1"/>
  <c r="H21" i="17"/>
  <c r="E53" i="17"/>
  <c r="B21" i="21"/>
  <c r="N137" i="21" s="1"/>
  <c r="A71" i="17"/>
  <c r="A67" i="17"/>
  <c r="A65" i="17"/>
  <c r="A63" i="17"/>
  <c r="R9" i="17"/>
  <c r="H15" i="21"/>
  <c r="A5" i="17"/>
  <c r="P5" i="17"/>
  <c r="B10" i="17"/>
  <c r="B9" i="17"/>
  <c r="I9" i="17"/>
  <c r="D51" i="17"/>
  <c r="E51" i="17"/>
  <c r="F51" i="17"/>
  <c r="G51" i="17"/>
  <c r="H51" i="17"/>
  <c r="I51" i="17"/>
  <c r="J51" i="17"/>
  <c r="K51" i="17"/>
  <c r="K21" i="17" s="1"/>
  <c r="K53" i="17" s="1"/>
  <c r="L51" i="17"/>
  <c r="M51" i="17"/>
  <c r="N51" i="17"/>
  <c r="O51" i="17"/>
  <c r="E102" i="17"/>
  <c r="F102" i="17"/>
  <c r="G102" i="17"/>
  <c r="I102" i="17"/>
  <c r="J102" i="17"/>
  <c r="K102" i="17"/>
  <c r="L102" i="17"/>
  <c r="M102" i="17"/>
  <c r="N102" i="17"/>
  <c r="O102" i="17"/>
  <c r="D102" i="17"/>
  <c r="E90" i="17"/>
  <c r="F90" i="17"/>
  <c r="G90" i="17"/>
  <c r="I90" i="17"/>
  <c r="J90" i="17"/>
  <c r="K90" i="17"/>
  <c r="L90" i="17"/>
  <c r="M90" i="17"/>
  <c r="N90" i="17"/>
  <c r="O90" i="17"/>
  <c r="H91" i="17"/>
  <c r="J91" i="17"/>
  <c r="O91" i="17"/>
  <c r="D90" i="17"/>
  <c r="P94" i="17"/>
  <c r="E88" i="17"/>
  <c r="E98" i="17" s="1"/>
  <c r="E100" i="17"/>
  <c r="F88" i="17"/>
  <c r="F100" i="17" s="1"/>
  <c r="G88" i="17"/>
  <c r="H88" i="17"/>
  <c r="I88" i="17"/>
  <c r="J88" i="17"/>
  <c r="K88" i="17"/>
  <c r="L88" i="17"/>
  <c r="L100" i="17"/>
  <c r="M88" i="17"/>
  <c r="M100" i="17" s="1"/>
  <c r="N88" i="17"/>
  <c r="N98" i="17" s="1"/>
  <c r="O88" i="17"/>
  <c r="J89" i="17"/>
  <c r="D88" i="17"/>
  <c r="D98" i="17"/>
  <c r="D86" i="17"/>
  <c r="E86" i="17"/>
  <c r="F86" i="17"/>
  <c r="G86" i="17"/>
  <c r="H86" i="17"/>
  <c r="I86" i="17"/>
  <c r="J86" i="17"/>
  <c r="K86" i="17"/>
  <c r="L86" i="17"/>
  <c r="M86" i="17"/>
  <c r="N86" i="17"/>
  <c r="O86" i="17"/>
  <c r="J87" i="17"/>
  <c r="P92" i="17"/>
  <c r="N95" i="17" s="1"/>
  <c r="A16" i="21"/>
  <c r="Y47" i="10"/>
  <c r="Z47" i="10"/>
  <c r="Z15" i="10"/>
  <c r="Z6" i="10"/>
  <c r="Y6" i="10"/>
  <c r="A25" i="25"/>
  <c r="A24" i="25"/>
  <c r="A23" i="25"/>
  <c r="A22" i="25"/>
  <c r="A21" i="25"/>
  <c r="A20" i="25"/>
  <c r="A19" i="25"/>
  <c r="G75" i="25"/>
  <c r="G74" i="25"/>
  <c r="G73" i="25"/>
  <c r="G72" i="25"/>
  <c r="B72" i="25"/>
  <c r="B73" i="25"/>
  <c r="H13" i="25"/>
  <c r="A14" i="25"/>
  <c r="B75" i="25"/>
  <c r="B74" i="25"/>
  <c r="C15" i="10"/>
  <c r="AN40" i="10"/>
  <c r="AN37" i="10"/>
  <c r="AN34" i="10"/>
  <c r="AN31" i="10"/>
  <c r="H15" i="25"/>
  <c r="H119" i="25"/>
  <c r="O134" i="25"/>
  <c r="P132" i="25"/>
  <c r="P133" i="25"/>
  <c r="B20" i="25"/>
  <c r="B21" i="25"/>
  <c r="N134" i="25" s="1"/>
  <c r="B22" i="25"/>
  <c r="N135" i="25" s="1"/>
  <c r="B23" i="25"/>
  <c r="N136" i="25" s="1"/>
  <c r="B24" i="25"/>
  <c r="N137" i="25" s="1"/>
  <c r="B25" i="25"/>
  <c r="N138" i="25" s="1"/>
  <c r="P138" i="25"/>
  <c r="H18" i="25"/>
  <c r="F359" i="27"/>
  <c r="F358" i="27"/>
  <c r="F357" i="27"/>
  <c r="F356" i="27"/>
  <c r="F355" i="27"/>
  <c r="F354" i="27"/>
  <c r="F353" i="27"/>
  <c r="F352" i="27"/>
  <c r="F351" i="27"/>
  <c r="F350" i="27"/>
  <c r="F349" i="27"/>
  <c r="F348" i="27"/>
  <c r="F347" i="27"/>
  <c r="F346" i="27"/>
  <c r="F345" i="27"/>
  <c r="F344" i="27"/>
  <c r="F343" i="27"/>
  <c r="F342" i="27"/>
  <c r="F341" i="27"/>
  <c r="F340" i="27"/>
  <c r="F339" i="27"/>
  <c r="F338" i="27"/>
  <c r="F337" i="27"/>
  <c r="F336" i="27"/>
  <c r="F335" i="27"/>
  <c r="F334" i="27"/>
  <c r="F333" i="27"/>
  <c r="F332" i="27"/>
  <c r="F331" i="27"/>
  <c r="F330" i="27"/>
  <c r="F329" i="27"/>
  <c r="F328" i="27"/>
  <c r="F327" i="27"/>
  <c r="F326" i="27"/>
  <c r="F325" i="27"/>
  <c r="F324" i="27"/>
  <c r="F323" i="27"/>
  <c r="F322" i="27"/>
  <c r="F321" i="27"/>
  <c r="F320" i="27"/>
  <c r="F319" i="27"/>
  <c r="F318" i="27"/>
  <c r="F317" i="27"/>
  <c r="F316" i="27"/>
  <c r="F315" i="27"/>
  <c r="F314" i="27"/>
  <c r="F313" i="27"/>
  <c r="F312" i="27"/>
  <c r="F311" i="27"/>
  <c r="F310" i="27"/>
  <c r="F309" i="27"/>
  <c r="F308" i="27"/>
  <c r="F307" i="27"/>
  <c r="F306" i="27"/>
  <c r="F305" i="27"/>
  <c r="F304" i="27"/>
  <c r="F303" i="27"/>
  <c r="F302" i="27"/>
  <c r="F301" i="27"/>
  <c r="F300" i="27"/>
  <c r="F299" i="27"/>
  <c r="F298" i="27"/>
  <c r="F297" i="27"/>
  <c r="F296" i="27"/>
  <c r="F295" i="27"/>
  <c r="F294" i="27"/>
  <c r="F293" i="27"/>
  <c r="F292" i="27"/>
  <c r="F291" i="27"/>
  <c r="F290" i="27"/>
  <c r="F289" i="27"/>
  <c r="F288" i="27"/>
  <c r="F287" i="27"/>
  <c r="F286" i="27"/>
  <c r="F285" i="27"/>
  <c r="F284" i="27"/>
  <c r="F283" i="27"/>
  <c r="F282" i="27"/>
  <c r="F281" i="27"/>
  <c r="F280" i="27"/>
  <c r="F279" i="27"/>
  <c r="F278" i="27"/>
  <c r="F277" i="27"/>
  <c r="F276" i="27"/>
  <c r="F275" i="27"/>
  <c r="F274" i="27"/>
  <c r="F273" i="27"/>
  <c r="F272" i="27"/>
  <c r="F271" i="27"/>
  <c r="F270" i="27"/>
  <c r="F269" i="27"/>
  <c r="F268" i="27"/>
  <c r="F267" i="27"/>
  <c r="F266" i="27"/>
  <c r="F265" i="27"/>
  <c r="F264" i="27"/>
  <c r="F263" i="27"/>
  <c r="F262" i="27"/>
  <c r="F261" i="27"/>
  <c r="F260"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30"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F149" i="27"/>
  <c r="F148" i="27"/>
  <c r="F147" i="27"/>
  <c r="F146" i="27"/>
  <c r="F145" i="27"/>
  <c r="F144" i="27"/>
  <c r="F143" i="27"/>
  <c r="F142"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F65" i="27"/>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B19" i="25"/>
  <c r="N132" i="25" s="1"/>
  <c r="S137" i="25"/>
  <c r="S138" i="25"/>
  <c r="S135" i="25"/>
  <c r="S132" i="25"/>
  <c r="A40" i="25" s="1"/>
  <c r="S131" i="25"/>
  <c r="C110" i="25"/>
  <c r="C107" i="25"/>
  <c r="C102" i="25"/>
  <c r="E94" i="25"/>
  <c r="F91" i="25"/>
  <c r="A91" i="25"/>
  <c r="A88" i="25"/>
  <c r="A86" i="25"/>
  <c r="F79" i="25"/>
  <c r="H78" i="25"/>
  <c r="G77" i="25"/>
  <c r="B71" i="25"/>
  <c r="B70" i="25"/>
  <c r="A67" i="25"/>
  <c r="Q60" i="25"/>
  <c r="B60" i="25"/>
  <c r="O60" i="25" s="1"/>
  <c r="Q59" i="25"/>
  <c r="B59" i="25"/>
  <c r="O59" i="25" s="1"/>
  <c r="S58" i="25"/>
  <c r="P58" i="25"/>
  <c r="B58" i="25"/>
  <c r="C77" i="25" s="1"/>
  <c r="Q57" i="25"/>
  <c r="B57" i="25"/>
  <c r="O57" i="25" s="1"/>
  <c r="Q56" i="25"/>
  <c r="P56" i="25"/>
  <c r="B56" i="25"/>
  <c r="O56" i="25" s="1"/>
  <c r="Q55" i="25"/>
  <c r="B55" i="25"/>
  <c r="C74" i="25" s="1"/>
  <c r="P53" i="25"/>
  <c r="B53" i="25"/>
  <c r="O53" i="25" s="1"/>
  <c r="P52" i="25"/>
  <c r="B52" i="25"/>
  <c r="C72" i="25" s="1"/>
  <c r="B50" i="25"/>
  <c r="O50" i="25" s="1"/>
  <c r="S49" i="25"/>
  <c r="P49" i="25"/>
  <c r="B49" i="25"/>
  <c r="O49" i="25" s="1"/>
  <c r="S48" i="25"/>
  <c r="P48" i="25"/>
  <c r="B48" i="25"/>
  <c r="O48" i="25" s="1"/>
  <c r="S47" i="25"/>
  <c r="P47" i="25"/>
  <c r="B47" i="25"/>
  <c r="O47" i="25" s="1"/>
  <c r="P46" i="25"/>
  <c r="B46" i="25"/>
  <c r="O46" i="25" s="1"/>
  <c r="B45" i="25"/>
  <c r="C70" i="25" s="1"/>
  <c r="A41" i="25"/>
  <c r="P40" i="25"/>
  <c r="O40" i="25"/>
  <c r="G40" i="25"/>
  <c r="A38" i="25"/>
  <c r="P37" i="25"/>
  <c r="O37" i="25"/>
  <c r="A35" i="25"/>
  <c r="P34" i="25"/>
  <c r="O34" i="25"/>
  <c r="A34" i="25"/>
  <c r="B31" i="25"/>
  <c r="O31" i="25" s="1"/>
  <c r="P31" i="25" s="1"/>
  <c r="O30" i="25"/>
  <c r="P30" i="25"/>
  <c r="H30" i="25"/>
  <c r="A30" i="25"/>
  <c r="A13" i="25"/>
  <c r="E52" i="21"/>
  <c r="P52" i="21" s="1"/>
  <c r="F45" i="21"/>
  <c r="Q45" i="21" s="1"/>
  <c r="E45" i="21"/>
  <c r="P45" i="21" s="1"/>
  <c r="G40" i="21"/>
  <c r="F40" i="21"/>
  <c r="Q40" i="21" s="1"/>
  <c r="E40" i="21"/>
  <c r="P40" i="21" s="1"/>
  <c r="F37" i="21"/>
  <c r="Q37" i="21" s="1"/>
  <c r="E37" i="21"/>
  <c r="P37" i="21" s="1"/>
  <c r="F31" i="21"/>
  <c r="Q31" i="21" s="1"/>
  <c r="F30" i="21"/>
  <c r="Q30" i="21" s="1"/>
  <c r="E31" i="21"/>
  <c r="P31" i="21" s="1"/>
  <c r="G47" i="20"/>
  <c r="R47" i="20" s="1"/>
  <c r="AD18" i="10"/>
  <c r="F46" i="21" s="1"/>
  <c r="Q46" i="21" s="1"/>
  <c r="N18" i="10"/>
  <c r="AD17" i="10"/>
  <c r="N17" i="10"/>
  <c r="B46" i="21"/>
  <c r="N46" i="21" s="1"/>
  <c r="N19" i="10"/>
  <c r="N20" i="10"/>
  <c r="A30" i="21"/>
  <c r="G79" i="21"/>
  <c r="G76" i="20"/>
  <c r="G75" i="21"/>
  <c r="B24" i="21"/>
  <c r="N140" i="21" s="1"/>
  <c r="A20" i="21"/>
  <c r="A19" i="21"/>
  <c r="A18" i="21"/>
  <c r="A17" i="21"/>
  <c r="R135" i="21"/>
  <c r="A23" i="21" s="1"/>
  <c r="R136" i="21"/>
  <c r="R137" i="21"/>
  <c r="R138" i="21"/>
  <c r="H15" i="20"/>
  <c r="J8" i="21"/>
  <c r="J7" i="21"/>
  <c r="B64" i="14"/>
  <c r="G74" i="20"/>
  <c r="G72" i="20"/>
  <c r="G71" i="20"/>
  <c r="G70" i="20"/>
  <c r="G69" i="20"/>
  <c r="G68" i="20"/>
  <c r="G37" i="20"/>
  <c r="F42" i="20"/>
  <c r="Q42" i="20" s="1"/>
  <c r="F43" i="20"/>
  <c r="Q43" i="20" s="1"/>
  <c r="E42" i="20"/>
  <c r="P42" i="20" s="1"/>
  <c r="F37" i="20"/>
  <c r="Q37" i="20" s="1"/>
  <c r="E37" i="20"/>
  <c r="P37" i="20" s="1"/>
  <c r="F34" i="20"/>
  <c r="Q34" i="20" s="1"/>
  <c r="E34" i="20"/>
  <c r="P34" i="20" s="1"/>
  <c r="F28" i="20"/>
  <c r="Q28" i="20" s="1"/>
  <c r="F27" i="20"/>
  <c r="Q27" i="20" s="1"/>
  <c r="E28" i="20"/>
  <c r="P28" i="20" s="1"/>
  <c r="E27" i="20"/>
  <c r="P27" i="20" s="1"/>
  <c r="C110" i="21"/>
  <c r="C107" i="21"/>
  <c r="C102" i="21"/>
  <c r="E94" i="21"/>
  <c r="A91" i="21"/>
  <c r="A88" i="21"/>
  <c r="A86" i="21"/>
  <c r="B71" i="21"/>
  <c r="B72" i="21"/>
  <c r="B73" i="21"/>
  <c r="B70" i="21"/>
  <c r="A67" i="21"/>
  <c r="A41" i="21"/>
  <c r="A38" i="21"/>
  <c r="A35" i="21"/>
  <c r="A34" i="21"/>
  <c r="A13" i="21"/>
  <c r="C107" i="20"/>
  <c r="C104" i="20"/>
  <c r="C99" i="20"/>
  <c r="E91" i="20"/>
  <c r="A88" i="20"/>
  <c r="A85" i="20"/>
  <c r="A83" i="20"/>
  <c r="B72" i="20"/>
  <c r="B71" i="20"/>
  <c r="B70" i="20"/>
  <c r="B69" i="20"/>
  <c r="B68" i="20"/>
  <c r="B67" i="20"/>
  <c r="A64" i="20"/>
  <c r="A38" i="20"/>
  <c r="A35" i="20"/>
  <c r="A32" i="20"/>
  <c r="A31" i="20"/>
  <c r="A27" i="20"/>
  <c r="J5" i="20"/>
  <c r="A13" i="20"/>
  <c r="A21" i="20"/>
  <c r="A17" i="20"/>
  <c r="A18" i="20"/>
  <c r="A19" i="20"/>
  <c r="A20" i="20"/>
  <c r="A16" i="20"/>
  <c r="A16" i="14"/>
  <c r="A17" i="14"/>
  <c r="A18" i="14"/>
  <c r="C104" i="14"/>
  <c r="C101" i="14"/>
  <c r="C96" i="14"/>
  <c r="E88" i="14"/>
  <c r="A85" i="14"/>
  <c r="A82" i="14"/>
  <c r="B65" i="14"/>
  <c r="B66" i="14"/>
  <c r="B67" i="14"/>
  <c r="B69" i="14"/>
  <c r="B70" i="14"/>
  <c r="B71" i="14"/>
  <c r="A35" i="14"/>
  <c r="A32" i="14"/>
  <c r="A28" i="14"/>
  <c r="A29" i="14"/>
  <c r="A24" i="14"/>
  <c r="A61" i="14"/>
  <c r="A80" i="14"/>
  <c r="A19" i="14"/>
  <c r="O37" i="21"/>
  <c r="O34" i="21"/>
  <c r="O40" i="21"/>
  <c r="N40" i="21"/>
  <c r="N37" i="21"/>
  <c r="N34" i="21"/>
  <c r="O34" i="14"/>
  <c r="O31" i="14"/>
  <c r="O37" i="20"/>
  <c r="O34" i="20"/>
  <c r="O31" i="20"/>
  <c r="O28" i="14"/>
  <c r="N28" i="14"/>
  <c r="N34" i="14"/>
  <c r="N31" i="14"/>
  <c r="N37" i="20"/>
  <c r="N31" i="20"/>
  <c r="N34" i="20"/>
  <c r="N48" i="14"/>
  <c r="N45" i="14"/>
  <c r="N38" i="14"/>
  <c r="N23" i="14"/>
  <c r="R136" i="20"/>
  <c r="H22" i="20" s="1"/>
  <c r="R135" i="20"/>
  <c r="B17" i="21"/>
  <c r="B18" i="21"/>
  <c r="B22" i="21"/>
  <c r="N138" i="21" s="1"/>
  <c r="B23" i="21"/>
  <c r="B25" i="21"/>
  <c r="N141" i="21" s="1"/>
  <c r="B19" i="21"/>
  <c r="N135" i="21" s="1"/>
  <c r="AT18" i="10"/>
  <c r="R132" i="21"/>
  <c r="C103" i="21" s="1"/>
  <c r="R131" i="21"/>
  <c r="E30" i="21" s="1"/>
  <c r="P30" i="21" s="1"/>
  <c r="F91" i="21"/>
  <c r="F79" i="21"/>
  <c r="H78" i="21"/>
  <c r="G77" i="21"/>
  <c r="P60" i="21"/>
  <c r="B60" i="21"/>
  <c r="N60" i="21" s="1"/>
  <c r="P59" i="21"/>
  <c r="B59" i="21"/>
  <c r="N59" i="21" s="1"/>
  <c r="R58" i="21"/>
  <c r="O58" i="21"/>
  <c r="B58" i="21"/>
  <c r="C77" i="21" s="1"/>
  <c r="P57" i="21"/>
  <c r="B57" i="21"/>
  <c r="N57" i="21" s="1"/>
  <c r="O57" i="21" s="1"/>
  <c r="P56" i="21"/>
  <c r="O56" i="21"/>
  <c r="B56" i="21"/>
  <c r="N56" i="21" s="1"/>
  <c r="P55" i="21"/>
  <c r="B55" i="21"/>
  <c r="O53" i="21"/>
  <c r="B53" i="21"/>
  <c r="N53" i="21" s="1"/>
  <c r="B52" i="21"/>
  <c r="B50" i="21"/>
  <c r="N50" i="21" s="1"/>
  <c r="R49" i="21"/>
  <c r="O49" i="21"/>
  <c r="B49" i="21"/>
  <c r="N49" i="21" s="1"/>
  <c r="R48" i="21"/>
  <c r="O48" i="21"/>
  <c r="B48" i="21"/>
  <c r="N48" i="21" s="1"/>
  <c r="R47" i="21"/>
  <c r="O47" i="21"/>
  <c r="B47" i="21"/>
  <c r="N47" i="21" s="1"/>
  <c r="O46" i="21"/>
  <c r="B45" i="21"/>
  <c r="N45" i="21" s="1"/>
  <c r="O45" i="21" s="1"/>
  <c r="B31" i="21"/>
  <c r="N31" i="21" s="1"/>
  <c r="O31" i="21" s="1"/>
  <c r="N30" i="21"/>
  <c r="O30" i="21"/>
  <c r="H30" i="21"/>
  <c r="H20" i="21"/>
  <c r="H75" i="20"/>
  <c r="O136" i="20"/>
  <c r="O132" i="20"/>
  <c r="B18" i="20"/>
  <c r="C18" i="20" s="1"/>
  <c r="O133" i="20"/>
  <c r="B19" i="20"/>
  <c r="E49" i="20" s="1"/>
  <c r="P49" i="20" s="1"/>
  <c r="B20" i="20"/>
  <c r="F53" i="20" s="1"/>
  <c r="Q53" i="20" s="1"/>
  <c r="B21" i="20"/>
  <c r="C21" i="20" s="1"/>
  <c r="B17" i="20"/>
  <c r="C17" i="20" s="1"/>
  <c r="B16" i="20"/>
  <c r="O131" i="20"/>
  <c r="R131" i="20"/>
  <c r="R130" i="20"/>
  <c r="F88" i="20"/>
  <c r="F76" i="20"/>
  <c r="P57" i="20"/>
  <c r="B57" i="20"/>
  <c r="N57" i="20" s="1"/>
  <c r="P56" i="20"/>
  <c r="B56" i="20"/>
  <c r="N56" i="20" s="1"/>
  <c r="R55" i="20"/>
  <c r="O55" i="20"/>
  <c r="B55" i="20"/>
  <c r="C74" i="20" s="1"/>
  <c r="P54" i="20"/>
  <c r="B54" i="20"/>
  <c r="N54" i="20" s="1"/>
  <c r="P53" i="20"/>
  <c r="O53" i="20"/>
  <c r="B53" i="20"/>
  <c r="N53" i="20" s="1"/>
  <c r="P52" i="20"/>
  <c r="B52" i="20"/>
  <c r="O50" i="20"/>
  <c r="B50" i="20"/>
  <c r="N50" i="20" s="1"/>
  <c r="B49" i="20"/>
  <c r="N49" i="20" s="1"/>
  <c r="B47" i="20"/>
  <c r="N47" i="20" s="1"/>
  <c r="R46" i="20"/>
  <c r="O46" i="20"/>
  <c r="B46" i="20"/>
  <c r="N46" i="20" s="1"/>
  <c r="R45" i="20"/>
  <c r="O45" i="20"/>
  <c r="B45" i="20"/>
  <c r="N45" i="20" s="1"/>
  <c r="R44" i="20"/>
  <c r="O44" i="20"/>
  <c r="B44" i="20"/>
  <c r="N44" i="20" s="1"/>
  <c r="O43" i="20"/>
  <c r="B43" i="20"/>
  <c r="N43" i="20" s="1"/>
  <c r="B42" i="20"/>
  <c r="C67" i="20" s="1"/>
  <c r="B28" i="20"/>
  <c r="N28" i="20" s="1"/>
  <c r="O28" i="20"/>
  <c r="N27" i="20"/>
  <c r="O27" i="20"/>
  <c r="H27" i="20"/>
  <c r="H21" i="20"/>
  <c r="G69" i="14"/>
  <c r="G68" i="14"/>
  <c r="G66" i="14"/>
  <c r="G65" i="14"/>
  <c r="G64" i="14"/>
  <c r="P96" i="17"/>
  <c r="F97" i="17" s="1"/>
  <c r="H19" i="14"/>
  <c r="H24" i="14"/>
  <c r="F73" i="14"/>
  <c r="G73" i="14"/>
  <c r="R42" i="14"/>
  <c r="R43" i="14"/>
  <c r="R52" i="14"/>
  <c r="F85" i="14"/>
  <c r="O40" i="14"/>
  <c r="O47" i="14"/>
  <c r="O50" i="14"/>
  <c r="R131" i="14"/>
  <c r="C97" i="14" s="1"/>
  <c r="B13" i="14"/>
  <c r="F43" i="14" s="1"/>
  <c r="Q43" i="14" s="1"/>
  <c r="B16" i="14"/>
  <c r="N131" i="14" s="1"/>
  <c r="B17" i="14"/>
  <c r="N133" i="14" s="1"/>
  <c r="B18" i="14"/>
  <c r="F51" i="14" s="1"/>
  <c r="Q51" i="14" s="1"/>
  <c r="B19" i="14"/>
  <c r="C19" i="14" s="1"/>
  <c r="R130" i="14"/>
  <c r="N24" i="14"/>
  <c r="O24" i="14"/>
  <c r="R24" i="14" s="1"/>
  <c r="B25" i="14"/>
  <c r="N25" i="14" s="1"/>
  <c r="O25" i="14"/>
  <c r="B39" i="14"/>
  <c r="B46" i="14"/>
  <c r="N46" i="14" s="1"/>
  <c r="O46" i="14"/>
  <c r="B49" i="14"/>
  <c r="N49" i="14" s="1"/>
  <c r="O49" i="14"/>
  <c r="B51" i="14"/>
  <c r="N51" i="14" s="1"/>
  <c r="O51" i="14"/>
  <c r="P53" i="14"/>
  <c r="P54" i="14"/>
  <c r="P50" i="14"/>
  <c r="P51" i="14"/>
  <c r="P49" i="14"/>
  <c r="O52" i="14"/>
  <c r="O41" i="14"/>
  <c r="B50" i="14"/>
  <c r="N50" i="14" s="1"/>
  <c r="O42" i="14"/>
  <c r="O43" i="14"/>
  <c r="B52" i="14"/>
  <c r="C71" i="14" s="1"/>
  <c r="B53" i="14"/>
  <c r="N53" i="14" s="1"/>
  <c r="B54" i="14"/>
  <c r="N54" i="14" s="1"/>
  <c r="B47" i="14"/>
  <c r="N47" i="14" s="1"/>
  <c r="B40" i="14"/>
  <c r="N40" i="14" s="1"/>
  <c r="B41" i="14"/>
  <c r="N41" i="14" s="1"/>
  <c r="B42" i="14"/>
  <c r="N42" i="14" s="1"/>
  <c r="B43" i="14"/>
  <c r="N43" i="14" s="1"/>
  <c r="B44" i="14"/>
  <c r="N44" i="14" s="1"/>
  <c r="G71" i="14"/>
  <c r="R41" i="14"/>
  <c r="O137" i="14"/>
  <c r="O133" i="14"/>
  <c r="G67" i="14"/>
  <c r="O42" i="20"/>
  <c r="R42" i="20"/>
  <c r="O49" i="20"/>
  <c r="O134" i="20"/>
  <c r="O135" i="20"/>
  <c r="O54" i="20"/>
  <c r="R54" i="20"/>
  <c r="O52" i="20"/>
  <c r="R53" i="20"/>
  <c r="R52" i="20"/>
  <c r="R43" i="20"/>
  <c r="P45" i="25"/>
  <c r="O55" i="25"/>
  <c r="P55" i="25"/>
  <c r="P137" i="25"/>
  <c r="P135" i="25"/>
  <c r="S52" i="25"/>
  <c r="S46" i="25"/>
  <c r="O135" i="14"/>
  <c r="G67" i="20"/>
  <c r="N53" i="17"/>
  <c r="O53" i="17"/>
  <c r="M53" i="17"/>
  <c r="L53" i="17"/>
  <c r="J53" i="17"/>
  <c r="O39" i="14"/>
  <c r="H34" i="20"/>
  <c r="F40" i="14"/>
  <c r="Q40" i="14" s="1"/>
  <c r="G59" i="25"/>
  <c r="S59" i="25" s="1"/>
  <c r="G60" i="25"/>
  <c r="S60" i="25" s="1"/>
  <c r="I32" i="33"/>
  <c r="G54" i="14"/>
  <c r="R54" i="14" s="1"/>
  <c r="R51" i="14"/>
  <c r="G53" i="14"/>
  <c r="R53" i="14" s="1"/>
  <c r="I59" i="33"/>
  <c r="O131" i="14"/>
  <c r="R49" i="20"/>
  <c r="G91" i="25"/>
  <c r="G88" i="14"/>
  <c r="G85" i="14"/>
  <c r="G76" i="14"/>
  <c r="N133" i="25"/>
  <c r="I73" i="33"/>
  <c r="I71" i="33"/>
  <c r="P57" i="25"/>
  <c r="O18" i="17"/>
  <c r="G50" i="21"/>
  <c r="R50" i="21" s="1"/>
  <c r="O133" i="25"/>
  <c r="S45" i="25"/>
  <c r="S55" i="25"/>
  <c r="S57" i="25"/>
  <c r="S56" i="25"/>
  <c r="G70" i="25"/>
  <c r="G71" i="25"/>
  <c r="O140" i="21"/>
  <c r="O138" i="21"/>
  <c r="O139" i="21"/>
  <c r="O141" i="21"/>
  <c r="O137" i="21"/>
  <c r="O136" i="21"/>
  <c r="R39" i="14"/>
  <c r="R40" i="14"/>
  <c r="R25" i="14"/>
  <c r="R46" i="14"/>
  <c r="R49" i="14"/>
  <c r="R50" i="14"/>
  <c r="D100" i="17"/>
  <c r="I101" i="33"/>
  <c r="L93" i="17"/>
  <c r="I87" i="33"/>
  <c r="O52" i="25"/>
  <c r="D95" i="17"/>
  <c r="G97" i="17"/>
  <c r="F93" i="17"/>
  <c r="E93" i="17"/>
  <c r="N93" i="17"/>
  <c r="D93" i="17"/>
  <c r="E95" i="17"/>
  <c r="F95" i="17"/>
  <c r="L95" i="17"/>
  <c r="F98" i="17"/>
  <c r="H18" i="17"/>
  <c r="H53" i="17"/>
  <c r="N100" i="17" l="1"/>
  <c r="I85" i="17"/>
  <c r="I87" i="17" s="1"/>
  <c r="L97" i="17"/>
  <c r="D97" i="17"/>
  <c r="N97" i="17"/>
  <c r="M97" i="17"/>
  <c r="I97" i="17"/>
  <c r="K85" i="17"/>
  <c r="K89" i="17" s="1"/>
  <c r="M105" i="17"/>
  <c r="M91" i="17" s="1"/>
  <c r="K105" i="17"/>
  <c r="K91" i="17" s="1"/>
  <c r="P102" i="17"/>
  <c r="P90" i="17"/>
  <c r="P98" i="17"/>
  <c r="D99" i="17" s="1"/>
  <c r="P93" i="17"/>
  <c r="G85" i="17"/>
  <c r="F85" i="17"/>
  <c r="P86" i="17"/>
  <c r="D85" i="17"/>
  <c r="M89" i="17"/>
  <c r="H85" i="17"/>
  <c r="I89" i="17"/>
  <c r="E85" i="17"/>
  <c r="E89" i="17" s="1"/>
  <c r="P95" i="17"/>
  <c r="N85" i="17"/>
  <c r="M87" i="17"/>
  <c r="P88" i="17"/>
  <c r="L85" i="17"/>
  <c r="F105" i="17"/>
  <c r="F91" i="17" s="1"/>
  <c r="L105" i="17"/>
  <c r="L91" i="17" s="1"/>
  <c r="G105" i="17"/>
  <c r="G91" i="17" s="1"/>
  <c r="H90" i="17"/>
  <c r="H18" i="33"/>
  <c r="H20" i="33" s="1"/>
  <c r="R28" i="20"/>
  <c r="G28" i="20"/>
  <c r="R37" i="20"/>
  <c r="R27" i="20"/>
  <c r="G34" i="20"/>
  <c r="G42" i="20"/>
  <c r="O58" i="25"/>
  <c r="C13" i="14"/>
  <c r="N135" i="14"/>
  <c r="N132" i="20"/>
  <c r="N58" i="21"/>
  <c r="F54" i="20"/>
  <c r="Q54" i="20" s="1"/>
  <c r="N55" i="21"/>
  <c r="O55" i="21" s="1"/>
  <c r="R34" i="20"/>
  <c r="F41" i="14"/>
  <c r="Q41" i="14" s="1"/>
  <c r="A37" i="20"/>
  <c r="F34" i="14"/>
  <c r="Q34" i="14" s="1"/>
  <c r="G13" i="14"/>
  <c r="P28" i="14" s="1"/>
  <c r="Q28" i="14" s="1"/>
  <c r="E42" i="14"/>
  <c r="G42" i="14" s="1"/>
  <c r="F52" i="20"/>
  <c r="Q52" i="20" s="1"/>
  <c r="N55" i="20"/>
  <c r="G44" i="14"/>
  <c r="R44" i="14" s="1"/>
  <c r="R60" i="14" s="1"/>
  <c r="F31" i="14"/>
  <c r="Q31" i="14" s="1"/>
  <c r="F39" i="14"/>
  <c r="Q39" i="14" s="1"/>
  <c r="E25" i="14"/>
  <c r="P25" i="14" s="1"/>
  <c r="E34" i="14"/>
  <c r="P34" i="14" s="1"/>
  <c r="F42" i="14"/>
  <c r="Q42" i="14" s="1"/>
  <c r="E43" i="14"/>
  <c r="P43" i="14" s="1"/>
  <c r="E52" i="14"/>
  <c r="G52" i="14" s="1"/>
  <c r="E39" i="14"/>
  <c r="P39" i="14" s="1"/>
  <c r="H40" i="25"/>
  <c r="F47" i="14"/>
  <c r="Q47" i="14" s="1"/>
  <c r="N133" i="20"/>
  <c r="H37" i="20"/>
  <c r="C100" i="20"/>
  <c r="F50" i="14"/>
  <c r="Q50" i="14" s="1"/>
  <c r="C103" i="25"/>
  <c r="F50" i="20"/>
  <c r="Q50" i="20" s="1"/>
  <c r="F49" i="20"/>
  <c r="H37" i="25"/>
  <c r="G103" i="25"/>
  <c r="R34" i="14"/>
  <c r="C66" i="14"/>
  <c r="F52" i="14"/>
  <c r="Q52" i="14" s="1"/>
  <c r="E41" i="14"/>
  <c r="P41" i="14" s="1"/>
  <c r="F24" i="14"/>
  <c r="Q24" i="14" s="1"/>
  <c r="F25" i="14"/>
  <c r="Q25" i="14" s="1"/>
  <c r="F13" i="14"/>
  <c r="C19" i="20"/>
  <c r="E31" i="14"/>
  <c r="P31" i="14" s="1"/>
  <c r="A34" i="14"/>
  <c r="C68" i="14"/>
  <c r="R31" i="14"/>
  <c r="H31" i="14"/>
  <c r="O45" i="25"/>
  <c r="N135" i="20"/>
  <c r="H37" i="21"/>
  <c r="N42" i="20"/>
  <c r="N52" i="14"/>
  <c r="E46" i="21"/>
  <c r="P46" i="21" s="1"/>
  <c r="R46" i="21" s="1"/>
  <c r="C17" i="14"/>
  <c r="C20" i="20"/>
  <c r="E24" i="14"/>
  <c r="C69" i="20"/>
  <c r="R45" i="21"/>
  <c r="C70" i="21"/>
  <c r="A25" i="21"/>
  <c r="A24" i="21"/>
  <c r="C24" i="10"/>
  <c r="A21" i="21"/>
  <c r="R37" i="21"/>
  <c r="A22" i="21"/>
  <c r="P139" i="25"/>
  <c r="G16" i="25" s="1"/>
  <c r="G31" i="21"/>
  <c r="O138" i="14"/>
  <c r="G45" i="21"/>
  <c r="G70" i="21" s="1"/>
  <c r="G37" i="21"/>
  <c r="N139" i="21"/>
  <c r="H23" i="21"/>
  <c r="A25" i="10"/>
  <c r="B20" i="21" s="1"/>
  <c r="H25" i="21"/>
  <c r="H24" i="21"/>
  <c r="C21" i="10"/>
  <c r="U22" i="10"/>
  <c r="B25" i="10"/>
  <c r="H22" i="21"/>
  <c r="A21" i="10"/>
  <c r="R30" i="21" s="1"/>
  <c r="X25" i="10"/>
  <c r="B21" i="10"/>
  <c r="E99" i="17"/>
  <c r="N133" i="21"/>
  <c r="E87" i="17"/>
  <c r="P100" i="17"/>
  <c r="D101" i="17" s="1"/>
  <c r="H21" i="21"/>
  <c r="N136" i="20"/>
  <c r="E43" i="20"/>
  <c r="C16" i="14"/>
  <c r="F46" i="14"/>
  <c r="Q46" i="14" s="1"/>
  <c r="E47" i="14"/>
  <c r="E46" i="14"/>
  <c r="C16" i="20"/>
  <c r="N131" i="20"/>
  <c r="N52" i="20"/>
  <c r="C71" i="20"/>
  <c r="N137" i="14"/>
  <c r="E40" i="14"/>
  <c r="H34" i="14"/>
  <c r="G28" i="14"/>
  <c r="E97" i="17"/>
  <c r="P97" i="17" s="1"/>
  <c r="E50" i="20"/>
  <c r="N134" i="20"/>
  <c r="D105" i="17"/>
  <c r="N105" i="17"/>
  <c r="N91" i="17" s="1"/>
  <c r="I105" i="17"/>
  <c r="I91" i="17" s="1"/>
  <c r="E105" i="17"/>
  <c r="E91" i="17" s="1"/>
  <c r="C64" i="14"/>
  <c r="N39" i="14"/>
  <c r="F49" i="14"/>
  <c r="C18" i="14"/>
  <c r="N52" i="21"/>
  <c r="O52" i="21" s="1"/>
  <c r="C72" i="21"/>
  <c r="Y15" i="10"/>
  <c r="H14" i="20"/>
  <c r="O137" i="20"/>
  <c r="G57" i="20" s="1"/>
  <c r="R57" i="20" s="1"/>
  <c r="A14" i="20"/>
  <c r="G93" i="14"/>
  <c r="A40" i="21"/>
  <c r="H40" i="21"/>
  <c r="N134" i="21"/>
  <c r="O85" i="17"/>
  <c r="E107" i="17"/>
  <c r="E111" i="17" s="1"/>
  <c r="E116" i="17" s="1"/>
  <c r="H102" i="17"/>
  <c r="F99" i="17" l="1"/>
  <c r="K87" i="17"/>
  <c r="H89" i="17"/>
  <c r="H87" i="17"/>
  <c r="N99" i="17"/>
  <c r="P99" i="17" s="1"/>
  <c r="L106" i="17"/>
  <c r="L89" i="17"/>
  <c r="L87" i="17"/>
  <c r="G89" i="17"/>
  <c r="G87" i="17"/>
  <c r="D87" i="17"/>
  <c r="D89" i="17"/>
  <c r="P85" i="17"/>
  <c r="P87" i="17" s="1"/>
  <c r="N106" i="17"/>
  <c r="N87" i="17"/>
  <c r="N89" i="17"/>
  <c r="F89" i="17"/>
  <c r="F87" i="17"/>
  <c r="E15" i="17"/>
  <c r="E26" i="17" s="1"/>
  <c r="E121" i="17"/>
  <c r="E122" i="17"/>
  <c r="E117" i="17"/>
  <c r="E120" i="17"/>
  <c r="E118" i="17"/>
  <c r="E119" i="17"/>
  <c r="G56" i="20"/>
  <c r="R56" i="20" s="1"/>
  <c r="R63" i="20" s="1"/>
  <c r="P50" i="20"/>
  <c r="R50" i="20" s="1"/>
  <c r="G50" i="20"/>
  <c r="P43" i="20"/>
  <c r="G43" i="20"/>
  <c r="Q49" i="20"/>
  <c r="G49" i="20"/>
  <c r="R31" i="21"/>
  <c r="R40" i="21"/>
  <c r="P52" i="14"/>
  <c r="G41" i="14"/>
  <c r="G39" i="14"/>
  <c r="P42" i="14"/>
  <c r="G43" i="14"/>
  <c r="G70" i="14"/>
  <c r="G46" i="21"/>
  <c r="G25" i="14"/>
  <c r="G24" i="14"/>
  <c r="G31" i="14"/>
  <c r="G97" i="14" s="1"/>
  <c r="R28" i="14"/>
  <c r="P24" i="14"/>
  <c r="F30" i="25"/>
  <c r="R30" i="25" s="1"/>
  <c r="F46" i="25"/>
  <c r="R46" i="25" s="1"/>
  <c r="F37" i="25"/>
  <c r="R37" i="25" s="1"/>
  <c r="F40" i="25"/>
  <c r="R40" i="25" s="1"/>
  <c r="O132" i="25"/>
  <c r="O139" i="25" s="1"/>
  <c r="G15" i="25" s="1"/>
  <c r="F31" i="25"/>
  <c r="R31" i="25" s="1"/>
  <c r="F45" i="25"/>
  <c r="R45" i="25" s="1"/>
  <c r="O133" i="21"/>
  <c r="G50" i="14"/>
  <c r="E13" i="14"/>
  <c r="G51" i="14"/>
  <c r="E53" i="21"/>
  <c r="F55" i="21"/>
  <c r="C20" i="25"/>
  <c r="E48" i="21"/>
  <c r="C19" i="21"/>
  <c r="E45" i="20"/>
  <c r="G30" i="21"/>
  <c r="C13" i="21"/>
  <c r="E44" i="20"/>
  <c r="G27" i="20"/>
  <c r="E48" i="25"/>
  <c r="C19" i="25"/>
  <c r="F56" i="25"/>
  <c r="E46" i="20"/>
  <c r="G13" i="25"/>
  <c r="F13" i="25"/>
  <c r="O134" i="21"/>
  <c r="F52" i="25"/>
  <c r="R52" i="25" s="1"/>
  <c r="F46" i="20"/>
  <c r="Q46" i="20" s="1"/>
  <c r="C21" i="21"/>
  <c r="C23" i="25"/>
  <c r="C24" i="25"/>
  <c r="E55" i="20"/>
  <c r="E49" i="21"/>
  <c r="C22" i="25"/>
  <c r="C21" i="25"/>
  <c r="C25" i="25"/>
  <c r="C25" i="21"/>
  <c r="E47" i="25"/>
  <c r="F48" i="25"/>
  <c r="R48" i="25" s="1"/>
  <c r="F49" i="25"/>
  <c r="R49" i="25" s="1"/>
  <c r="F55" i="25"/>
  <c r="G13" i="20"/>
  <c r="F57" i="25"/>
  <c r="F47" i="25"/>
  <c r="R47" i="25" s="1"/>
  <c r="C22" i="21"/>
  <c r="F55" i="20"/>
  <c r="Q55" i="20" s="1"/>
  <c r="F49" i="21"/>
  <c r="Q49" i="21" s="1"/>
  <c r="F47" i="21"/>
  <c r="Q47" i="21" s="1"/>
  <c r="C24" i="21"/>
  <c r="G13" i="21"/>
  <c r="E58" i="21"/>
  <c r="F58" i="21"/>
  <c r="Q58" i="21" s="1"/>
  <c r="F13" i="21"/>
  <c r="F44" i="20"/>
  <c r="Q44" i="20" s="1"/>
  <c r="F57" i="21"/>
  <c r="F53" i="25"/>
  <c r="R53" i="25" s="1"/>
  <c r="F13" i="20"/>
  <c r="C13" i="20"/>
  <c r="B16" i="21"/>
  <c r="F58" i="25"/>
  <c r="R58" i="25" s="1"/>
  <c r="C13" i="25"/>
  <c r="E58" i="25"/>
  <c r="E49" i="25"/>
  <c r="F45" i="20"/>
  <c r="Q45" i="20" s="1"/>
  <c r="E47" i="21"/>
  <c r="F48" i="21"/>
  <c r="Q48" i="21" s="1"/>
  <c r="C17" i="21"/>
  <c r="P47" i="14"/>
  <c r="R47" i="14" s="1"/>
  <c r="G47" i="14"/>
  <c r="C18" i="21"/>
  <c r="P40" i="14"/>
  <c r="G40" i="14"/>
  <c r="F52" i="21"/>
  <c r="C23" i="21"/>
  <c r="N136" i="21"/>
  <c r="O106" i="17"/>
  <c r="O87" i="17"/>
  <c r="O89" i="17"/>
  <c r="G88" i="20"/>
  <c r="G52" i="20"/>
  <c r="G53" i="20"/>
  <c r="G54" i="20"/>
  <c r="G91" i="20"/>
  <c r="E13" i="20"/>
  <c r="P105" i="17"/>
  <c r="P91" i="17" s="1"/>
  <c r="D91" i="17"/>
  <c r="Q49" i="14"/>
  <c r="G49" i="14"/>
  <c r="G46" i="14"/>
  <c r="P46" i="14"/>
  <c r="N101" i="17"/>
  <c r="M101" i="17"/>
  <c r="E101" i="17"/>
  <c r="F101" i="17"/>
  <c r="L101" i="17"/>
  <c r="P101" i="17" s="1"/>
  <c r="F53" i="21"/>
  <c r="Q53" i="21" s="1"/>
  <c r="E46" i="17" l="1"/>
  <c r="E50" i="17"/>
  <c r="P89" i="17"/>
  <c r="E42" i="17"/>
  <c r="E18" i="17"/>
  <c r="E113" i="17"/>
  <c r="D106" i="17"/>
  <c r="P106" i="17" s="1"/>
  <c r="E34" i="17"/>
  <c r="E22" i="17"/>
  <c r="E38" i="17"/>
  <c r="E30" i="17"/>
  <c r="P31" i="20"/>
  <c r="Q31" i="20" s="1"/>
  <c r="R31" i="20" s="1"/>
  <c r="R60" i="20" s="1"/>
  <c r="F117" i="20" s="1"/>
  <c r="G117" i="20" s="1"/>
  <c r="G31" i="20"/>
  <c r="G100" i="20" s="1"/>
  <c r="G96" i="14"/>
  <c r="G99" i="14" s="1"/>
  <c r="G103" i="14" s="1"/>
  <c r="G106" i="14" s="1"/>
  <c r="G109" i="14" s="1"/>
  <c r="F118" i="14" s="1"/>
  <c r="G118" i="14" s="1"/>
  <c r="R57" i="14"/>
  <c r="F114" i="14" s="1"/>
  <c r="G114" i="14" s="1"/>
  <c r="P34" i="21"/>
  <c r="Q34" i="21" s="1"/>
  <c r="O140" i="25"/>
  <c r="L34" i="10" s="1"/>
  <c r="Q34" i="25"/>
  <c r="R34" i="25" s="1"/>
  <c r="G57" i="14"/>
  <c r="F116" i="14" s="1"/>
  <c r="G116" i="14" s="1"/>
  <c r="Q52" i="21"/>
  <c r="R52" i="21" s="1"/>
  <c r="G52" i="21"/>
  <c r="G72" i="21" s="1"/>
  <c r="P53" i="21"/>
  <c r="R53" i="21" s="1"/>
  <c r="G53" i="21"/>
  <c r="G73" i="21" s="1"/>
  <c r="Q57" i="21"/>
  <c r="G58" i="21"/>
  <c r="P58" i="21"/>
  <c r="R57" i="25"/>
  <c r="G55" i="20"/>
  <c r="P55" i="20"/>
  <c r="G76" i="25"/>
  <c r="G48" i="25"/>
  <c r="Q48" i="25"/>
  <c r="G102" i="21"/>
  <c r="G45" i="20"/>
  <c r="P45" i="20"/>
  <c r="G73" i="20"/>
  <c r="G79" i="20" s="1"/>
  <c r="G96" i="20" s="1"/>
  <c r="Q55" i="21"/>
  <c r="P47" i="21"/>
  <c r="G47" i="21"/>
  <c r="G71" i="21" s="1"/>
  <c r="G58" i="25"/>
  <c r="Q58" i="25"/>
  <c r="G49" i="21"/>
  <c r="P49" i="21"/>
  <c r="Q47" i="25"/>
  <c r="G47" i="25"/>
  <c r="P46" i="20"/>
  <c r="G46" i="20"/>
  <c r="G99" i="20"/>
  <c r="Q49" i="25"/>
  <c r="G49" i="25"/>
  <c r="N132" i="21"/>
  <c r="O132" i="21"/>
  <c r="C16" i="21"/>
  <c r="R55" i="25"/>
  <c r="R56" i="25"/>
  <c r="P44" i="20"/>
  <c r="G44" i="20"/>
  <c r="G76" i="21"/>
  <c r="G48" i="21"/>
  <c r="P48" i="21"/>
  <c r="G60" i="20" l="1"/>
  <c r="F119" i="20" s="1"/>
  <c r="G119" i="20" s="1"/>
  <c r="G102" i="20"/>
  <c r="G106" i="20" s="1"/>
  <c r="G109" i="20" s="1"/>
  <c r="G112" i="20" s="1"/>
  <c r="F121" i="20" s="1"/>
  <c r="G56" i="25"/>
  <c r="G34" i="25"/>
  <c r="G55" i="25"/>
  <c r="G57" i="25"/>
  <c r="L37" i="10"/>
  <c r="E37" i="25" s="1"/>
  <c r="Q37" i="25" s="1"/>
  <c r="G79" i="25"/>
  <c r="G82" i="25" s="1"/>
  <c r="S34" i="25"/>
  <c r="H34" i="10"/>
  <c r="K31" i="10"/>
  <c r="H40" i="10"/>
  <c r="M34" i="10"/>
  <c r="J31" i="10"/>
  <c r="K37" i="10"/>
  <c r="E31" i="25" s="1"/>
  <c r="Q31" i="25" s="1"/>
  <c r="N37" i="10"/>
  <c r="E46" i="25" s="1"/>
  <c r="L31" i="10"/>
  <c r="I40" i="10"/>
  <c r="X37" i="10"/>
  <c r="G50" i="25" s="1"/>
  <c r="S50" i="25" s="1"/>
  <c r="S66" i="25" s="1"/>
  <c r="G94" i="25"/>
  <c r="H37" i="10"/>
  <c r="K40" i="10"/>
  <c r="G34" i="10"/>
  <c r="G40" i="10"/>
  <c r="X31" i="10"/>
  <c r="L40" i="10"/>
  <c r="N31" i="10"/>
  <c r="N40" i="10"/>
  <c r="I31" i="10"/>
  <c r="N34" i="10"/>
  <c r="G37" i="10"/>
  <c r="X34" i="10"/>
  <c r="J34" i="10"/>
  <c r="I37" i="10"/>
  <c r="E30" i="25" s="1"/>
  <c r="J40" i="10"/>
  <c r="H31" i="10"/>
  <c r="G31" i="10"/>
  <c r="I34" i="10"/>
  <c r="K34" i="10"/>
  <c r="J37" i="10"/>
  <c r="M40" i="10"/>
  <c r="M37" i="10"/>
  <c r="E45" i="25" s="1"/>
  <c r="U46" i="10"/>
  <c r="E53" i="25" s="1"/>
  <c r="M31" i="10"/>
  <c r="X40" i="10"/>
  <c r="R46" i="10"/>
  <c r="E52" i="25" s="1"/>
  <c r="O135" i="21"/>
  <c r="O142" i="21" s="1"/>
  <c r="G34" i="21" s="1"/>
  <c r="Z24" i="10"/>
  <c r="N122" i="14"/>
  <c r="N124" i="14" s="1"/>
  <c r="F120" i="14" s="1"/>
  <c r="F122" i="14" s="1"/>
  <c r="G122" i="14" s="1"/>
  <c r="F130" i="14"/>
  <c r="G130" i="14" s="1"/>
  <c r="K107" i="17"/>
  <c r="N107" i="17"/>
  <c r="K108" i="17"/>
  <c r="K111" i="17" s="1"/>
  <c r="I108" i="17"/>
  <c r="I111" i="17" s="1"/>
  <c r="I107" i="17"/>
  <c r="M108" i="17"/>
  <c r="M111" i="17" s="1"/>
  <c r="F108" i="17"/>
  <c r="F111" i="17" s="1"/>
  <c r="J103" i="17"/>
  <c r="N103" i="17"/>
  <c r="G107" i="17"/>
  <c r="M103" i="17"/>
  <c r="I103" i="17"/>
  <c r="G103" i="17"/>
  <c r="M107" i="17"/>
  <c r="G108" i="17"/>
  <c r="G111" i="17" s="1"/>
  <c r="H108" i="17"/>
  <c r="H111" i="17" s="1"/>
  <c r="J107" i="17"/>
  <c r="K103" i="17"/>
  <c r="O103" i="17"/>
  <c r="D103" i="17"/>
  <c r="J108" i="17"/>
  <c r="J111" i="17" s="1"/>
  <c r="L103" i="17"/>
  <c r="E103" i="17"/>
  <c r="N108" i="17"/>
  <c r="N111" i="17" s="1"/>
  <c r="F107" i="17"/>
  <c r="F103" i="17"/>
  <c r="H107" i="17"/>
  <c r="D107" i="17"/>
  <c r="L107" i="17"/>
  <c r="L108" i="17"/>
  <c r="L111" i="17" s="1"/>
  <c r="D108" i="17"/>
  <c r="H103" i="17"/>
  <c r="Y24" i="10"/>
  <c r="O107" i="17"/>
  <c r="O108" i="17"/>
  <c r="O111" i="17" s="1"/>
  <c r="D111" i="17" l="1"/>
  <c r="D120" i="17" s="1"/>
  <c r="F124" i="14"/>
  <c r="F126" i="14" s="1"/>
  <c r="L15" i="17"/>
  <c r="L122" i="17"/>
  <c r="L118" i="17"/>
  <c r="L117" i="17"/>
  <c r="L121" i="17"/>
  <c r="L120" i="17"/>
  <c r="L119" i="17"/>
  <c r="L116" i="17"/>
  <c r="J121" i="17"/>
  <c r="J118" i="17"/>
  <c r="J117" i="17"/>
  <c r="J120" i="17"/>
  <c r="J119" i="17"/>
  <c r="J15" i="17"/>
  <c r="J18" i="17" s="1"/>
  <c r="J116" i="17"/>
  <c r="J122" i="17"/>
  <c r="N15" i="17"/>
  <c r="N120" i="17"/>
  <c r="N116" i="17"/>
  <c r="N121" i="17"/>
  <c r="N119" i="17"/>
  <c r="N118" i="17"/>
  <c r="N117" i="17"/>
  <c r="N122" i="17"/>
  <c r="K15" i="17"/>
  <c r="K121" i="17"/>
  <c r="K122" i="17"/>
  <c r="K117" i="17"/>
  <c r="K116" i="17"/>
  <c r="K119" i="17"/>
  <c r="K120" i="17"/>
  <c r="K118" i="17"/>
  <c r="M122" i="17"/>
  <c r="M120" i="17"/>
  <c r="M121" i="17"/>
  <c r="M119" i="17"/>
  <c r="M116" i="17"/>
  <c r="M118" i="17"/>
  <c r="M15" i="17"/>
  <c r="M117" i="17"/>
  <c r="I15" i="17"/>
  <c r="I120" i="17"/>
  <c r="I117" i="17"/>
  <c r="I121" i="17"/>
  <c r="I118" i="17"/>
  <c r="I122" i="17"/>
  <c r="I116" i="17"/>
  <c r="I119" i="17"/>
  <c r="O15" i="17"/>
  <c r="O121" i="17"/>
  <c r="O117" i="17"/>
  <c r="O120" i="17"/>
  <c r="O116" i="17"/>
  <c r="O119" i="17"/>
  <c r="O122" i="17"/>
  <c r="O118" i="17"/>
  <c r="H15" i="17"/>
  <c r="H119" i="17"/>
  <c r="H118" i="17"/>
  <c r="H122" i="17"/>
  <c r="H120" i="17"/>
  <c r="H121" i="17"/>
  <c r="H116" i="17"/>
  <c r="H117" i="17"/>
  <c r="G15" i="17"/>
  <c r="G118" i="17"/>
  <c r="G121" i="17"/>
  <c r="G117" i="17"/>
  <c r="G122" i="17"/>
  <c r="G120" i="17"/>
  <c r="G116" i="17"/>
  <c r="G119" i="17"/>
  <c r="F15" i="17"/>
  <c r="F120" i="17"/>
  <c r="F116" i="17"/>
  <c r="F118" i="17"/>
  <c r="F121" i="17"/>
  <c r="F119" i="17"/>
  <c r="F117" i="17"/>
  <c r="F122" i="17"/>
  <c r="R57" i="21"/>
  <c r="G103" i="21"/>
  <c r="R55" i="21"/>
  <c r="G99" i="25"/>
  <c r="E40" i="25"/>
  <c r="Q40" i="25" s="1"/>
  <c r="S40" i="25" s="1"/>
  <c r="S37" i="25"/>
  <c r="G37" i="25"/>
  <c r="S31" i="25"/>
  <c r="G31" i="25"/>
  <c r="G46" i="25"/>
  <c r="Q46" i="25"/>
  <c r="G53" i="25"/>
  <c r="Q53" i="25"/>
  <c r="S53" i="25" s="1"/>
  <c r="G52" i="25"/>
  <c r="Q52" i="25"/>
  <c r="Q45" i="25"/>
  <c r="G45" i="25"/>
  <c r="Q30" i="25"/>
  <c r="S30" i="25" s="1"/>
  <c r="G30" i="25"/>
  <c r="G121" i="20"/>
  <c r="N122" i="20"/>
  <c r="F133" i="20"/>
  <c r="G133" i="20" s="1"/>
  <c r="E13" i="21"/>
  <c r="AK24" i="10"/>
  <c r="F56" i="21" s="1"/>
  <c r="G94" i="21"/>
  <c r="G91" i="21"/>
  <c r="G60" i="21"/>
  <c r="R60" i="21" s="1"/>
  <c r="R34" i="21"/>
  <c r="G55" i="21"/>
  <c r="G74" i="21" s="1"/>
  <c r="G82" i="21" s="1"/>
  <c r="G57" i="21"/>
  <c r="G59" i="21"/>
  <c r="R59" i="21" s="1"/>
  <c r="P107" i="17"/>
  <c r="P103" i="17"/>
  <c r="P108" i="17"/>
  <c r="D15" i="17" l="1"/>
  <c r="D119" i="17"/>
  <c r="D117" i="17"/>
  <c r="D121" i="17"/>
  <c r="D122" i="17"/>
  <c r="D116" i="17"/>
  <c r="F37" i="17" s="1"/>
  <c r="D118" i="17"/>
  <c r="G21" i="17"/>
  <c r="G53" i="17" s="1"/>
  <c r="F128" i="14"/>
  <c r="M18" i="17"/>
  <c r="M34" i="17"/>
  <c r="M42" i="17"/>
  <c r="M38" i="17"/>
  <c r="M22" i="17"/>
  <c r="M26" i="17"/>
  <c r="M30" i="17"/>
  <c r="M50" i="17"/>
  <c r="M46" i="17"/>
  <c r="M113" i="17"/>
  <c r="M114" i="17" s="1"/>
  <c r="M55" i="17" s="1"/>
  <c r="M57" i="17" s="1"/>
  <c r="D46" i="17"/>
  <c r="D38" i="17"/>
  <c r="D22" i="17"/>
  <c r="D34" i="17"/>
  <c r="D42" i="17"/>
  <c r="D50" i="17"/>
  <c r="D113" i="17"/>
  <c r="D30" i="17"/>
  <c r="D26" i="17"/>
  <c r="D18" i="17"/>
  <c r="J113" i="17"/>
  <c r="J114" i="17" s="1"/>
  <c r="J55" i="17" s="1"/>
  <c r="J57" i="17" s="1"/>
  <c r="J50" i="17"/>
  <c r="J38" i="17"/>
  <c r="J22" i="17"/>
  <c r="J30" i="17"/>
  <c r="J42" i="17"/>
  <c r="J46" i="17"/>
  <c r="J26" i="17"/>
  <c r="J34" i="17"/>
  <c r="F113" i="17"/>
  <c r="F38" i="17"/>
  <c r="F22" i="17"/>
  <c r="F42" i="17"/>
  <c r="F50" i="17"/>
  <c r="F46" i="17"/>
  <c r="F34" i="17"/>
  <c r="F18" i="17"/>
  <c r="F26" i="17"/>
  <c r="F30" i="17"/>
  <c r="G18" i="17"/>
  <c r="G26" i="17"/>
  <c r="G38" i="17"/>
  <c r="G42" i="17"/>
  <c r="G22" i="17"/>
  <c r="G30" i="17"/>
  <c r="G34" i="17"/>
  <c r="G46" i="17"/>
  <c r="G113" i="17"/>
  <c r="G50" i="17"/>
  <c r="F21" i="17"/>
  <c r="F53" i="17" s="1"/>
  <c r="D21" i="17"/>
  <c r="D53" i="17" s="1"/>
  <c r="M37" i="17"/>
  <c r="H113" i="17"/>
  <c r="H114" i="17" s="1"/>
  <c r="H55" i="17" s="1"/>
  <c r="H34" i="17"/>
  <c r="H57" i="17"/>
  <c r="H42" i="17"/>
  <c r="H22" i="17"/>
  <c r="H26" i="17"/>
  <c r="H30" i="17"/>
  <c r="H46" i="17"/>
  <c r="H50" i="17"/>
  <c r="H38" i="17"/>
  <c r="O22" i="17"/>
  <c r="O50" i="17"/>
  <c r="O46" i="17"/>
  <c r="O42" i="17"/>
  <c r="O113" i="17"/>
  <c r="O114" i="17" s="1"/>
  <c r="O55" i="17" s="1"/>
  <c r="O26" i="17"/>
  <c r="O34" i="17"/>
  <c r="O38" i="17"/>
  <c r="O57" i="17"/>
  <c r="O30" i="17"/>
  <c r="I42" i="17"/>
  <c r="I113" i="17"/>
  <c r="I50" i="17"/>
  <c r="I26" i="17"/>
  <c r="I22" i="17"/>
  <c r="I34" i="17"/>
  <c r="I46" i="17"/>
  <c r="I30" i="17"/>
  <c r="I18" i="17"/>
  <c r="I38" i="17"/>
  <c r="K50" i="17"/>
  <c r="K30" i="17"/>
  <c r="K46" i="17"/>
  <c r="K26" i="17"/>
  <c r="K22" i="17"/>
  <c r="K38" i="17"/>
  <c r="K18" i="17"/>
  <c r="K34" i="17"/>
  <c r="K113" i="17"/>
  <c r="K42" i="17"/>
  <c r="N18" i="17"/>
  <c r="N30" i="17"/>
  <c r="N22" i="17"/>
  <c r="N38" i="17"/>
  <c r="N46" i="17"/>
  <c r="N42" i="17"/>
  <c r="N26" i="17"/>
  <c r="N34" i="17"/>
  <c r="N50" i="17"/>
  <c r="N113" i="17"/>
  <c r="N114" i="17" s="1"/>
  <c r="N55" i="17" s="1"/>
  <c r="N57" i="17" s="1"/>
  <c r="L18" i="17"/>
  <c r="L113" i="17"/>
  <c r="L114" i="17" s="1"/>
  <c r="L55" i="17" s="1"/>
  <c r="L57" i="17" s="1"/>
  <c r="L50" i="17"/>
  <c r="L38" i="17"/>
  <c r="L22" i="17"/>
  <c r="L34" i="17"/>
  <c r="L42" i="17"/>
  <c r="L46" i="17"/>
  <c r="L26" i="17"/>
  <c r="L30" i="17"/>
  <c r="N124" i="20"/>
  <c r="F123" i="20" s="1"/>
  <c r="S63" i="25"/>
  <c r="F120" i="25" s="1"/>
  <c r="G120" i="25" s="1"/>
  <c r="G63" i="25"/>
  <c r="F122" i="25" s="1"/>
  <c r="G122" i="25" s="1"/>
  <c r="G102" i="25"/>
  <c r="G105" i="25" s="1"/>
  <c r="G109" i="25" s="1"/>
  <c r="G112" i="25" s="1"/>
  <c r="G115" i="25" s="1"/>
  <c r="F124" i="25" s="1"/>
  <c r="G124" i="25" s="1"/>
  <c r="R66" i="21"/>
  <c r="G56" i="21"/>
  <c r="G63" i="21" s="1"/>
  <c r="Q56" i="21"/>
  <c r="R56" i="21" s="1"/>
  <c r="G99" i="21"/>
  <c r="G105" i="21" s="1"/>
  <c r="F49" i="17" l="1"/>
  <c r="H41" i="17"/>
  <c r="H49" i="17"/>
  <c r="I29" i="17"/>
  <c r="J33" i="17"/>
  <c r="G49" i="17"/>
  <c r="M41" i="17"/>
  <c r="N29" i="17"/>
  <c r="N49" i="17"/>
  <c r="O25" i="17"/>
  <c r="J25" i="17"/>
  <c r="I33" i="17"/>
  <c r="J37" i="17"/>
  <c r="K49" i="17"/>
  <c r="G41" i="17"/>
  <c r="G25" i="17"/>
  <c r="F41" i="17"/>
  <c r="O33" i="17"/>
  <c r="E45" i="17"/>
  <c r="D25" i="17"/>
  <c r="L33" i="17"/>
  <c r="D33" i="17"/>
  <c r="K37" i="17"/>
  <c r="M49" i="17"/>
  <c r="O41" i="17"/>
  <c r="J29" i="17"/>
  <c r="N45" i="17"/>
  <c r="E49" i="17"/>
  <c r="N37" i="17"/>
  <c r="K25" i="17"/>
  <c r="F25" i="17"/>
  <c r="N25" i="17"/>
  <c r="H25" i="17"/>
  <c r="L41" i="17"/>
  <c r="F45" i="17"/>
  <c r="H45" i="17"/>
  <c r="O49" i="17"/>
  <c r="G29" i="17"/>
  <c r="E37" i="17"/>
  <c r="H33" i="17"/>
  <c r="D29" i="17"/>
  <c r="L29" i="17"/>
  <c r="M33" i="17"/>
  <c r="H29" i="17"/>
  <c r="I41" i="17"/>
  <c r="D49" i="17"/>
  <c r="O29" i="17"/>
  <c r="D41" i="17"/>
  <c r="D45" i="17"/>
  <c r="F33" i="17"/>
  <c r="O37" i="17"/>
  <c r="L37" i="17"/>
  <c r="E29" i="17"/>
  <c r="G45" i="17"/>
  <c r="M25" i="17"/>
  <c r="E41" i="17"/>
  <c r="J41" i="17"/>
  <c r="L49" i="17"/>
  <c r="E21" i="17"/>
  <c r="I45" i="17"/>
  <c r="M45" i="17"/>
  <c r="J45" i="17"/>
  <c r="N41" i="17"/>
  <c r="K29" i="17"/>
  <c r="K45" i="17"/>
  <c r="O45" i="17"/>
  <c r="H37" i="17"/>
  <c r="L45" i="17"/>
  <c r="G33" i="17"/>
  <c r="K33" i="17"/>
  <c r="D37" i="17"/>
  <c r="I25" i="17"/>
  <c r="J49" i="17"/>
  <c r="K41" i="17"/>
  <c r="N33" i="17"/>
  <c r="E25" i="17"/>
  <c r="I37" i="17"/>
  <c r="E33" i="17"/>
  <c r="M29" i="17"/>
  <c r="L25" i="17"/>
  <c r="G37" i="17"/>
  <c r="F29" i="17"/>
  <c r="I49" i="17"/>
  <c r="P113" i="17"/>
  <c r="F125" i="20"/>
  <c r="G125" i="20" s="1"/>
  <c r="F127" i="20"/>
  <c r="F122" i="21"/>
  <c r="G122" i="21" s="1"/>
  <c r="F136" i="25"/>
  <c r="G136" i="25" s="1"/>
  <c r="O123" i="25"/>
  <c r="R63" i="21"/>
  <c r="F120" i="21" s="1"/>
  <c r="G120" i="21" s="1"/>
  <c r="G109" i="21"/>
  <c r="G112" i="21" s="1"/>
  <c r="G115" i="21" s="1"/>
  <c r="F124" i="21" s="1"/>
  <c r="D114" i="17" l="1"/>
  <c r="E114" i="17"/>
  <c r="E55" i="17" s="1"/>
  <c r="E57" i="17" s="1"/>
  <c r="K114" i="17"/>
  <c r="K55" i="17" s="1"/>
  <c r="K57" i="17" s="1"/>
  <c r="I114" i="17"/>
  <c r="I55" i="17" s="1"/>
  <c r="I57" i="17" s="1"/>
  <c r="G114" i="17"/>
  <c r="G55" i="17" s="1"/>
  <c r="G57" i="17" s="1"/>
  <c r="F114" i="17"/>
  <c r="F55" i="17" s="1"/>
  <c r="F57" i="17" s="1"/>
  <c r="D55" i="17"/>
  <c r="G124" i="21"/>
  <c r="N123" i="21"/>
  <c r="O125" i="25"/>
  <c r="F126" i="25" s="1"/>
  <c r="F131" i="20"/>
  <c r="F136" i="21"/>
  <c r="G136" i="21" s="1"/>
  <c r="P114" i="17" l="1"/>
  <c r="C124" i="17"/>
  <c r="D57" i="17"/>
  <c r="D59" i="17" s="1"/>
  <c r="I142" i="17" s="1"/>
  <c r="I144" i="17" s="1"/>
  <c r="D77" i="17" s="1"/>
  <c r="F128" i="25"/>
  <c r="G128" i="25" s="1"/>
  <c r="F130" i="25"/>
  <c r="F132" i="25" s="1"/>
  <c r="N125" i="21"/>
  <c r="F126" i="21" s="1"/>
  <c r="F128" i="21" s="1"/>
  <c r="G128" i="21" s="1"/>
  <c r="D79" i="17" l="1"/>
  <c r="F134" i="25"/>
  <c r="F130" i="21"/>
  <c r="F132" i="21" s="1"/>
  <c r="F13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Bevan</author>
    <author>Bevan</author>
  </authors>
  <commentList>
    <comment ref="A3" authorId="0" shapeId="0" xr:uid="{00000000-0006-0000-0200-000001000000}">
      <text>
        <r>
          <rPr>
            <sz val="8"/>
            <color indexed="81"/>
            <rFont val="Tahoma"/>
            <family val="2"/>
          </rPr>
          <t>Note: the occupied areas defined for the purpose of this activity database are used to determine a default occupancy for the building and identify the building users that will consume water on the premises. Therefore, not all possible occupied areas of the building need to be listed (to avoid a double counting of occupancy). For example, in an office the meeting rooms are not included because users of the meeting room will occupy the office areas, which will have already been accounted for.</t>
        </r>
      </text>
    </comment>
    <comment ref="L3" authorId="0" shapeId="0" xr:uid="{00000000-0006-0000-0200-000002000000}">
      <text>
        <r>
          <rPr>
            <sz val="8"/>
            <color indexed="81"/>
            <rFont val="Tahoma"/>
            <family val="2"/>
          </rPr>
          <t>Usage figure assumes there are also WCs present.</t>
        </r>
        <r>
          <rPr>
            <sz val="8"/>
            <color indexed="81"/>
            <rFont val="Tahoma"/>
            <family val="2"/>
          </rPr>
          <t xml:space="preserve">
</t>
        </r>
      </text>
    </comment>
    <comment ref="X3" authorId="0" shapeId="0" xr:uid="{00000000-0006-0000-0200-000003000000}">
      <text>
        <r>
          <rPr>
            <sz val="8"/>
            <color indexed="81"/>
            <rFont val="Tahoma"/>
            <family val="2"/>
          </rPr>
          <t>Assumes vessel filling for personal consumption, not other uses.</t>
        </r>
        <r>
          <rPr>
            <sz val="8"/>
            <color indexed="81"/>
            <rFont val="Tahoma"/>
            <family val="2"/>
          </rPr>
          <t xml:space="preserve">
units in litres/person/day)</t>
        </r>
      </text>
    </comment>
    <comment ref="Z3" authorId="0" shapeId="0" xr:uid="{00000000-0006-0000-0200-000004000000}">
      <text>
        <r>
          <rPr>
            <b/>
            <sz val="8"/>
            <color indexed="81"/>
            <rFont val="Tahoma"/>
            <family val="2"/>
          </rPr>
          <t>Tim Bevan:</t>
        </r>
        <r>
          <rPr>
            <sz val="8"/>
            <color indexed="81"/>
            <rFont val="Tahoma"/>
            <family val="2"/>
          </rPr>
          <t xml:space="preserve">
</t>
        </r>
      </text>
    </comment>
    <comment ref="E4" authorId="0" shapeId="0" xr:uid="{00000000-0006-0000-0200-000005000000}">
      <text>
        <r>
          <rPr>
            <sz val="8"/>
            <color indexed="81"/>
            <rFont val="Tahoma"/>
            <family val="2"/>
          </rPr>
          <t>i.e. 8.00am - 6.00pm = 10hrs. NCM database occupancy pattern.</t>
        </r>
        <r>
          <rPr>
            <sz val="8"/>
            <color indexed="81"/>
            <rFont val="Tahoma"/>
            <family val="2"/>
          </rPr>
          <t xml:space="preserve">
</t>
        </r>
      </text>
    </comment>
    <comment ref="I4" authorId="0" shapeId="0" xr:uid="{00000000-0006-0000-0200-000006000000}">
      <text>
        <r>
          <rPr>
            <b/>
            <sz val="8"/>
            <color indexed="81"/>
            <rFont val="Tahoma"/>
            <family val="2"/>
          </rPr>
          <t>Source: BNWAT22</t>
        </r>
        <r>
          <rPr>
            <sz val="8"/>
            <color indexed="81"/>
            <rFont val="Tahoma"/>
            <family val="2"/>
          </rPr>
          <t xml:space="preserve">
</t>
        </r>
      </text>
    </comment>
    <comment ref="J4" authorId="0" shapeId="0" xr:uid="{00000000-0006-0000-0200-000007000000}">
      <text>
        <r>
          <rPr>
            <b/>
            <sz val="8"/>
            <color indexed="81"/>
            <rFont val="Tahoma"/>
            <family val="2"/>
          </rPr>
          <t>Source: BNWAT22</t>
        </r>
        <r>
          <rPr>
            <sz val="8"/>
            <color indexed="81"/>
            <rFont val="Tahoma"/>
            <family val="2"/>
          </rPr>
          <t xml:space="preserve">
</t>
        </r>
      </text>
    </comment>
    <comment ref="K4" authorId="0" shapeId="0" xr:uid="{00000000-0006-0000-0200-000008000000}">
      <text>
        <r>
          <rPr>
            <b/>
            <sz val="8"/>
            <color indexed="81"/>
            <rFont val="Tahoma"/>
            <family val="2"/>
          </rPr>
          <t>Source: BNWAT22</t>
        </r>
        <r>
          <rPr>
            <sz val="8"/>
            <color indexed="81"/>
            <rFont val="Tahoma"/>
            <family val="2"/>
          </rPr>
          <t xml:space="preserve">
</t>
        </r>
      </text>
    </comment>
    <comment ref="L4" authorId="0" shapeId="0" xr:uid="{00000000-0006-0000-0200-000009000000}">
      <text>
        <r>
          <rPr>
            <b/>
            <sz val="8"/>
            <color indexed="81"/>
            <rFont val="Tahoma"/>
            <family val="2"/>
          </rPr>
          <t>Source: BNWAT22</t>
        </r>
        <r>
          <rPr>
            <sz val="8"/>
            <color indexed="81"/>
            <rFont val="Tahoma"/>
            <family val="2"/>
          </rPr>
          <t xml:space="preserve">
</t>
        </r>
      </text>
    </comment>
    <comment ref="M4" authorId="0" shapeId="0" xr:uid="{00000000-0006-0000-0200-00000A000000}">
      <text>
        <r>
          <rPr>
            <b/>
            <sz val="8"/>
            <color indexed="81"/>
            <rFont val="Tahoma"/>
            <family val="2"/>
          </rPr>
          <t>Source: BNWAT22</t>
        </r>
        <r>
          <rPr>
            <sz val="8"/>
            <color indexed="81"/>
            <rFont val="Tahoma"/>
            <family val="2"/>
          </rPr>
          <t xml:space="preserve">
</t>
        </r>
      </text>
    </comment>
    <comment ref="N4" authorId="0" shapeId="0" xr:uid="{00000000-0006-0000-0200-00000B000000}">
      <text>
        <r>
          <rPr>
            <sz val="8"/>
            <color indexed="81"/>
            <rFont val="Tahoma"/>
            <family val="2"/>
          </rPr>
          <t>BNWAT22 has no data for shower use in offices. This figure is a BRE Global (TB) assumption based on the number of people that cycle to work as a proporption of the total work force in Great Britain, the assumption being that if a development provides a shower those that cycle will use it once a day. 
In Great Britain 3% of the workforce cycle to work (source  DfT transport stats for 2009). Therefore, an assumption is made that the average employee will use a shower (where provided) 0.03 times a day (or 6.6 times a year on average). Obviously if you cycle this will be alot more and if you don't it will be zero.
Exsting 2008 Water calc assume 0.1 uses/person/day. No idea where this figure comes from.
Entec report for CLG assumes that 5% of office employees will use a shower at work. The basis for this assumption was not stated and I believe it to be too high.</t>
        </r>
      </text>
    </comment>
    <comment ref="O4" authorId="0" shapeId="0" xr:uid="{00000000-0006-0000-0200-00000C000000}">
      <text>
        <r>
          <rPr>
            <sz val="8"/>
            <color indexed="81"/>
            <rFont val="Tahoma"/>
            <family val="2"/>
          </rPr>
          <t>No bath use assumed in this building type.</t>
        </r>
      </text>
    </comment>
    <comment ref="P4" authorId="0" shapeId="0" xr:uid="{00000000-0006-0000-0200-00000D000000}">
      <text>
        <r>
          <rPr>
            <sz val="8"/>
            <color indexed="81"/>
            <rFont val="Tahoma"/>
            <family val="2"/>
          </rPr>
          <t>No bath use assumed in this building type.</t>
        </r>
      </text>
    </comment>
    <comment ref="Q4" authorId="0" shapeId="0" xr:uid="{00000000-0006-0000-0200-00000E000000}">
      <text>
        <r>
          <rPr>
            <sz val="8"/>
            <color indexed="81"/>
            <rFont val="Tahoma"/>
            <family val="2"/>
          </rPr>
          <t>No bath use assumed in this building type.</t>
        </r>
      </text>
    </comment>
    <comment ref="X4" authorId="0" shapeId="0" xr:uid="{00000000-0006-0000-0200-00000F000000}">
      <text>
        <r>
          <rPr>
            <sz val="8"/>
            <color indexed="81"/>
            <rFont val="Tahoma"/>
            <family val="2"/>
          </rPr>
          <t>BS8525 COP Greywater systems: states a typical value of 1.58 litres/person/day.</t>
        </r>
      </text>
    </comment>
    <comment ref="AC4" authorId="0" shapeId="0" xr:uid="{00000000-0006-0000-0200-000010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4" authorId="0" shapeId="0" xr:uid="{00000000-0006-0000-0200-000011000000}">
      <text>
        <r>
          <rPr>
            <sz val="8"/>
            <color indexed="81"/>
            <rFont val="Tahoma"/>
            <family val="2"/>
          </rPr>
          <t>Source: CLG domestic water efficiency calc, also used in BS8525 COP for greywater systems.</t>
        </r>
      </text>
    </comment>
    <comment ref="AE4" authorId="0" shapeId="0" xr:uid="{00000000-0006-0000-0200-000012000000}">
      <text>
        <r>
          <rPr>
            <sz val="8"/>
            <color indexed="81"/>
            <rFont val="Tahoma"/>
            <family val="2"/>
          </rPr>
          <t>Source: CLG domestic water efficiency calc, also used in BS8525 COP for greywater systems</t>
        </r>
      </text>
    </comment>
    <comment ref="AQ4" authorId="0" shapeId="0" xr:uid="{00000000-0006-0000-0200-000013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4" authorId="0" shapeId="0" xr:uid="{00000000-0006-0000-0200-000014000000}">
      <text>
        <r>
          <rPr>
            <sz val="8"/>
            <color indexed="81"/>
            <rFont val="Tahoma"/>
            <family val="2"/>
          </rPr>
          <t>Two-thirds to account for the fact that taps will not to be run at full volume.</t>
        </r>
        <r>
          <rPr>
            <sz val="8"/>
            <color indexed="81"/>
            <rFont val="Tahoma"/>
            <family val="2"/>
          </rPr>
          <t xml:space="preserve">
</t>
        </r>
      </text>
    </comment>
    <comment ref="AU4" authorId="0" shapeId="0" xr:uid="{00000000-0006-0000-0200-000015000000}">
      <text>
        <r>
          <rPr>
            <sz val="8"/>
            <color indexed="81"/>
            <rFont val="Tahoma"/>
            <family val="2"/>
          </rPr>
          <t xml:space="preserve">6 litres in that required by Water Supply (Water Fittings) Regulations </t>
        </r>
      </text>
    </comment>
    <comment ref="AW4" authorId="1" shapeId="0" xr:uid="{00000000-0006-0000-0200-000016000000}">
      <text>
        <r>
          <rPr>
            <sz val="8"/>
            <color indexed="81"/>
            <rFont val="Tahoma"/>
            <family val="2"/>
          </rPr>
          <t>BREEAM 2008 one credit level
Equivalent to a 6/4 dual flush</t>
        </r>
      </text>
    </comment>
    <comment ref="AX4" authorId="0" shapeId="0" xr:uid="{00000000-0006-0000-0200-000017000000}">
      <text>
        <r>
          <rPr>
            <sz val="8"/>
            <color indexed="81"/>
            <rFont val="Tahoma"/>
            <family val="2"/>
          </rPr>
          <t>AECB water standards publication (Jan 2009) states f</t>
        </r>
        <r>
          <rPr>
            <u/>
            <sz val="8"/>
            <color indexed="81"/>
            <rFont val="Tahoma"/>
            <family val="2"/>
          </rPr>
          <t>ull flush</t>
        </r>
        <r>
          <rPr>
            <sz val="8"/>
            <color indexed="81"/>
            <rFont val="Tahoma"/>
            <family val="2"/>
          </rPr>
          <t xml:space="preserve"> of less than 4 litres is experimental.
</t>
        </r>
      </text>
    </comment>
    <comment ref="AY4" authorId="0" shapeId="0" xr:uid="{00000000-0006-0000-0200-000018000000}">
      <text>
        <r>
          <rPr>
            <sz val="8"/>
            <color indexed="81"/>
            <rFont val="Tahoma"/>
            <family val="2"/>
          </rPr>
          <t>6/3 dual flush WC = 3.75 and a 4.5/3 dual flush = 3.8 effective flush volume.</t>
        </r>
      </text>
    </comment>
    <comment ref="AZ4" authorId="1" shapeId="0" xr:uid="{00000000-0006-0000-0200-000019000000}">
      <text>
        <r>
          <rPr>
            <sz val="8"/>
            <color indexed="81"/>
            <rFont val="Tahoma"/>
            <family val="2"/>
          </rPr>
          <t xml:space="preserve">An effective flush volume of 3.0 is the level required for BREEAM 2008 2 credits  (for non water calc method building types).
A dual flush WC of 4/2.6 represents current exemplary practice in the UK (not including composting toilets, not considered viable option for non domestic building). This type of dual flush WC has an effective flushing volume of 2.95 litres.
</t>
        </r>
      </text>
    </comment>
    <comment ref="R5" authorId="0" shapeId="0" xr:uid="{00000000-0006-0000-0200-00001A000000}">
      <text>
        <r>
          <rPr>
            <sz val="8"/>
            <color indexed="81"/>
            <rFont val="Tahoma"/>
            <family val="2"/>
          </rPr>
          <t>Source: Communities and Local Government Research to Assess the Costs and Benefits of Improvements to the Water Efficiency of New Non-household Buildings (Entec Oct 2009)</t>
        </r>
        <r>
          <rPr>
            <sz val="8"/>
            <color indexed="81"/>
            <rFont val="Tahoma"/>
            <family val="2"/>
          </rPr>
          <t xml:space="preserve">
</t>
        </r>
      </text>
    </comment>
    <comment ref="U5" authorId="0" shapeId="0" xr:uid="{00000000-0006-0000-0200-00001B000000}">
      <text>
        <r>
          <rPr>
            <sz val="8"/>
            <color indexed="81"/>
            <rFont val="Tahoma"/>
            <family val="2"/>
          </rPr>
          <t>One cycle accommodates 25 people i.e. 1/25=0.04 uses/person/day. 
Source: Communities and Local Government Research to Assess the Costs and Benefits of Improvements to the Water Efficiency of New Non-household Buildings (Entec Oct 2009).</t>
        </r>
      </text>
    </comment>
    <comment ref="AH5" authorId="0" shapeId="0" xr:uid="{00000000-0006-0000-0200-00001C000000}">
      <text>
        <r>
          <rPr>
            <sz val="8"/>
            <color indexed="81"/>
            <rFont val="Tahoma"/>
            <family val="2"/>
          </rPr>
          <t>Communities and Local Government Research to Assess the Costs and Benefits of Improvements to the Water Efficiency of New Non-household Buildings (BD2683) states a factor of 0.67 for offices in its example calculation.</t>
        </r>
      </text>
    </comment>
    <comment ref="AZ5" authorId="0" shapeId="0" xr:uid="{00000000-0006-0000-0200-00001D000000}">
      <text>
        <r>
          <rPr>
            <sz val="8"/>
            <color indexed="81"/>
            <rFont val="Tahoma"/>
            <family val="2"/>
          </rPr>
          <t>This is equivalent to a dual flush WC of 4/2.6. Which has an effective flushing volume of 2.875 litres. This represents current exemplary practice in the UK.</t>
        </r>
        <r>
          <rPr>
            <sz val="8"/>
            <color indexed="81"/>
            <rFont val="Tahoma"/>
            <family val="2"/>
          </rPr>
          <t xml:space="preserve">
</t>
        </r>
      </text>
    </comment>
    <comment ref="C6" authorId="0" shapeId="0" xr:uid="{00000000-0006-0000-0200-00001E000000}">
      <text>
        <r>
          <rPr>
            <sz val="8"/>
            <color indexed="81"/>
            <rFont val="Tahoma"/>
            <family val="2"/>
          </rPr>
          <t>Note: this figure is use to calculated a default number of kitchen staff only.
An average restaurant has been modelled as having 25 employees serving 250 covers per day (Pacific Institute, 2003). For an office canteen/restaurant this figure is halved to 12.5 employees per 250 covers as it is assumed that office canteen/restaurants will not rely on a table service (as in a restaurant) and therefore will have less staff per cover as a result. Therefore, where there is a staff canteen/restaurant, the number of staff in that activity area is determined as follows:
An overall occupant density for seated dining areas of 0.2888 persons/m2 is used (source: National Energy Calculation Methodology activity database) to determine the number of people seated in the restaurant. A period of 11am-3pm is used as a default hours of use by the building's staff, whereby occupant density fluctuates respectively during those hours as follows: 0.25, 1.0, 1.0, 0.75 (source NCM activity database); resulting in an average occupant density of  0.217 covers/hr/m2.
This average multiplied by the 4 hour period gives a figure of 0.868 covers/m2. If there are 12.5 kitchen employees per 250 covers, then there are 0.05 employees/cover; therefore there are 0.0434 kitchen employees/m2 of seated dining area.</t>
        </r>
      </text>
    </comment>
    <comment ref="V6" authorId="0" shapeId="0" xr:uid="{00000000-0006-0000-0200-00001F000000}">
      <text>
        <r>
          <rPr>
            <sz val="8"/>
            <color indexed="81"/>
            <rFont val="Tahoma"/>
            <family val="2"/>
          </rPr>
          <t>It could be argued that there is likley to be a washing machine where there is a food preparation area, however, no data available for this component in this activity area. It is possible that it could be accounted for under the miscellaneous under food preparation (which is a fixed use).</t>
        </r>
      </text>
    </comment>
    <comment ref="Y6" authorId="0" shapeId="0" xr:uid="{00000000-0006-0000-0200-000020000000}">
      <text>
        <r>
          <rPr>
            <sz val="8"/>
            <color indexed="81"/>
            <rFont val="Tahoma"/>
            <family val="2"/>
          </rPr>
          <t>Units: litres/day
Fixed use for food preparation is based on a ‘standard’ restaurant. This ‘standard’ model gives details relating to a hotel with 25 staff serving 250 covers or meals per day, (source: BD2683 and sources contained therein), as follows:
0.33 kg of ice per meal
Food preparation sink: 113.4 litres (per day) / 250 covers = 0.4536 litres/cover
Food: 1.89 litres/cover
Total: 2.674 litres/cover
This figure is multiplied by 0.868 covers/m2 (see comment against occupant density for this building area for source of number) and the total area (m2) of the dining area to give the fixed use total here.
If there is no dining area, no figure is calculated.</t>
        </r>
      </text>
    </comment>
    <comment ref="Z6" authorId="0" shapeId="0" xr:uid="{00000000-0006-0000-0200-000021000000}">
      <text>
        <r>
          <rPr>
            <sz val="8"/>
            <color indexed="81"/>
            <rFont val="Arial"/>
            <family val="2"/>
          </rPr>
          <t>Units: litres/day
Fixed use for cleaning in a food preparation area is based on a ‘standard’ restaurant. This ‘standard’ model gives details relating to a hotel with 25 staff serving 250 covers or meals per day (Source: BD2683), as follows:
Pot and pan sink: 900 litres (3 x sinks filled with 150 litre capacity filled twice a day) / 250 covers = 3.6 litres/cover
Cleaning: 298.4 / 250 covers = 1.1936 litres/cover
Miscellaneous use: 378/250 = 1.52 litres/cover
Total: 6.314 litres/cover
This figure is multiplied by 0.868 covers/m2 (see comment against occupant density for this building area for source of number) and the total area (m2) of the dining area to give the fixed use total here.
If there is no dining area, no figure is calculated.</t>
        </r>
      </text>
    </comment>
    <comment ref="AI6" authorId="0" shapeId="0" xr:uid="{00000000-0006-0000-0200-000022000000}">
      <text>
        <r>
          <rPr>
            <b/>
            <sz val="8"/>
            <color indexed="81"/>
            <rFont val="Tahoma"/>
            <family val="2"/>
          </rPr>
          <t xml:space="preserve">Source: </t>
        </r>
        <r>
          <rPr>
            <sz val="8"/>
            <color indexed="81"/>
            <rFont val="Tahoma"/>
            <family val="2"/>
          </rPr>
          <t>washing up pre-rinse nozzles are used for 60 min per day (Pacific Institute, 2003; MWRA,1990)</t>
        </r>
        <r>
          <rPr>
            <sz val="8"/>
            <color indexed="81"/>
            <rFont val="Tahoma"/>
            <family val="2"/>
          </rPr>
          <t xml:space="preserve">
</t>
        </r>
      </text>
    </comment>
    <comment ref="AK6" authorId="0" shapeId="0" xr:uid="{00000000-0006-0000-0200-000023000000}">
      <text>
        <r>
          <rPr>
            <sz val="8"/>
            <color indexed="81"/>
            <rFont val="Tahoma"/>
            <family val="2"/>
          </rPr>
          <t>units: dishwasher cycle/m2
Communities and Local Government Research to Assess the Costs and Benefits of Improvements to the Water Efficiency of New Non-household Buildings (BD2683) states each customer produces half a dishwasher rack of washing up per visit. This is for standard restaurant use. For an office canteen, this has been halved again to one quarter rack per cover on the basis that only one course is served at lunchtime, so less crockery than for standard restaurant (where two or three courses are to be assumed).
An overall occupant density for seated dining areas of 0.289 persons/m2 is used (source: National Energy Calculation Methodology activity database) to determine the number of people seated in the restaurant. A period of 11am-3pm is used as a default hours of use of the dining area by the building's staff, whereby occupant density fluctuates respectively during those hours as follows: 0.25, 1.0, 1.0, 0.75 (source NCM activity database); resulting in an average occupant density of  0.217 covers/hr/m2. This average multiplied by the 4 hour period gives a figure of 0.868 covers/m2/day.
Therefore: 0.868 covers/m2/day * 0.25 racks/cover = 0.217 cycles/m2 dining area/day.</t>
        </r>
      </text>
    </comment>
    <comment ref="AM6" authorId="0" shapeId="0" xr:uid="{00000000-0006-0000-0200-000024000000}">
      <text>
        <r>
          <rPr>
            <b/>
            <sz val="8"/>
            <color indexed="81"/>
            <rFont val="Tahoma"/>
            <family val="2"/>
          </rPr>
          <t>Source:</t>
        </r>
        <r>
          <rPr>
            <sz val="8"/>
            <color indexed="81"/>
            <rFont val="Tahoma"/>
            <family val="2"/>
          </rPr>
          <t xml:space="preserve"> waste disposal devices run for 30 min per day (Pacific Institute, 2003; MWRA,1990)</t>
        </r>
        <r>
          <rPr>
            <sz val="8"/>
            <color indexed="81"/>
            <rFont val="Tahoma"/>
            <family val="2"/>
          </rPr>
          <t xml:space="preserve">
</t>
        </r>
      </text>
    </comment>
    <comment ref="AZ6" authorId="0" shapeId="0" xr:uid="{00000000-0006-0000-0200-000025000000}">
      <text>
        <r>
          <rPr>
            <sz val="8"/>
            <color indexed="81"/>
            <rFont val="Tahoma"/>
            <family val="2"/>
          </rPr>
          <t>This is equivalent to a dual flush WC of 4/2.6. Which has an effective flushing volume of 2.875 litres. This represents current exemplary practice in the UK.</t>
        </r>
        <r>
          <rPr>
            <sz val="8"/>
            <color indexed="81"/>
            <rFont val="Tahoma"/>
            <family val="2"/>
          </rPr>
          <t xml:space="preserve">
</t>
        </r>
      </text>
    </comment>
    <comment ref="AT7" authorId="0" shapeId="0" xr:uid="{00000000-0006-0000-0200-000026000000}">
      <text>
        <r>
          <rPr>
            <sz val="8"/>
            <color indexed="81"/>
            <rFont val="Tahoma"/>
            <family val="2"/>
          </rPr>
          <t>These figures will be adjusted by a factor of two-thirds in the calculation to account for the fact that taps tend not to be run at full volume.</t>
        </r>
        <r>
          <rPr>
            <sz val="8"/>
            <color indexed="81"/>
            <rFont val="Tahoma"/>
            <family val="2"/>
          </rPr>
          <t xml:space="preserve">
</t>
        </r>
      </text>
    </comment>
    <comment ref="AV7" authorId="1" shapeId="0" xr:uid="{00000000-0006-0000-0200-000027000000}">
      <text>
        <r>
          <rPr>
            <sz val="8"/>
            <color indexed="81"/>
            <rFont val="Tahoma"/>
            <family val="2"/>
          </rPr>
          <t>BREEAM 2008 requirement for taps = 6 l/min. Accounting for two thirds this would be approx 9 l/min</t>
        </r>
        <r>
          <rPr>
            <sz val="8"/>
            <color indexed="81"/>
            <rFont val="Tahoma"/>
            <family val="2"/>
          </rPr>
          <t xml:space="preserve">
</t>
        </r>
      </text>
    </comment>
    <comment ref="C8" authorId="0" shapeId="0" xr:uid="{00000000-0006-0000-0200-000028000000}">
      <text>
        <r>
          <rPr>
            <sz val="8"/>
            <color indexed="81"/>
            <rFont val="Tahoma"/>
            <family val="2"/>
          </rPr>
          <t>For the purpose of this methodology zero has been used as the users of this facility will be the staff, whose number is determined based on the density of other activity areas , so to acount for occupancy against this activity area would double count the number of building users.</t>
        </r>
      </text>
    </comment>
    <comment ref="N8" authorId="0" shapeId="0" xr:uid="{00000000-0006-0000-0200-000029000000}">
      <text>
        <r>
          <rPr>
            <sz val="8"/>
            <color indexed="81"/>
            <rFont val="Tahoma"/>
            <family val="2"/>
          </rPr>
          <t>For the purpose of shower use in this building type for a fitness suites/gym, it has been assumed that 80% of users of this facility will take a shower after use (this is a BRE assumption on the basis that most users will shower, though unlikely to be all, so a significant majority has been used).
The number of users for this facility has been determined as follows:
The percentage of all adults that undertake "30 minutes or more of moderate or vigorous activity on at least five days per week" is, according to the NHS Health Survey for England 2008 (Table 14 Trends table) 34%. The assumption has therefore been made that if a fitness suite is provided, then 50% of the staff who exercise for 30mins or more five times a week will take advantage of the fitness suite (or if not the suite, the changing/shower facilities becuase they jog or play other sports at work). Only half is used as it is assumed that at an equal number of the 34% will get their 30mins a day via attendance at sporting clubs outside of work.
The 3% of people that cycle to work in the UK (therefore fulfilling the recommended 30min requirement) has first been subtracted from 34% figure, prior to adjustments made above, and then added back on to the adjusted figure. This is because it has been assumed that all those who cycle will shower, therefore they should not be subject to the 80% and 50% adjustments.
Therefore, this usage ratio represents all shower use by staff in the building when a fitness suite/gym with a changing facilities is included (where it isn't the above usage ratio of 0.03 is used, which based on those who cycle).
No. of showers per person per day = ((34% - 3%) * 50% * 80%)) + 3% = 0.154 (15.4% of staff).</t>
        </r>
      </text>
    </comment>
    <comment ref="X8" authorId="0" shapeId="0" xr:uid="{00000000-0006-0000-0200-00002A000000}">
      <text>
        <r>
          <rPr>
            <sz val="8"/>
            <color indexed="81"/>
            <rFont val="Tahoma"/>
            <family val="2"/>
          </rPr>
          <t>CLG Research to Assess the Costs and Benefits of Improvements to the Water Efficiency of New Non-household Buildings states in its approach to drafting standard for leisure centres that each visitor uses 0.3 litre of water from a fountain or tap, for drinking (based on an average 1 hour visit). This figure has been used and adjusted to account for the 15.4% of staff that will use this facility (see note under shower use for how this figure was determined).
Fixed use vessel filling for the building (per/person) resulting from having a fitness suite is therefore: 0.3 * 0.154 = 0.05 litres.</t>
        </r>
      </text>
    </comment>
    <comment ref="AU8" authorId="1" shapeId="0" xr:uid="{00000000-0006-0000-0200-00002B000000}">
      <text>
        <r>
          <rPr>
            <b/>
            <sz val="8"/>
            <color indexed="81"/>
            <rFont val="Tahoma"/>
            <family val="2"/>
          </rPr>
          <t>Data from Market Transformation Programme BNWAT07 "Baths -Water Efficeincy Test performance tests"
Standard usage, based on data collected by water companies, is 40% of the capcity to overflow.
Env Agency: 12+ l/min = typical</t>
        </r>
      </text>
    </comment>
    <comment ref="AV8" authorId="1" shapeId="0" xr:uid="{00000000-0006-0000-0200-00002C000000}">
      <text>
        <r>
          <rPr>
            <b/>
            <sz val="8"/>
            <color indexed="81"/>
            <rFont val="Tahoma"/>
            <family val="2"/>
          </rPr>
          <t>SD174 Table 2 upper level</t>
        </r>
        <r>
          <rPr>
            <sz val="8"/>
            <color indexed="81"/>
            <rFont val="Tahoma"/>
            <family val="2"/>
          </rPr>
          <t xml:space="preserve">
</t>
        </r>
        <r>
          <rPr>
            <b/>
            <sz val="8"/>
            <color indexed="81"/>
            <rFont val="Tahoma"/>
            <family val="2"/>
          </rPr>
          <t>9.5 l/min maximum flow rate permitted in USA</t>
        </r>
      </text>
    </comment>
    <comment ref="AW8" authorId="1" shapeId="0" xr:uid="{00000000-0006-0000-0200-00002D000000}">
      <text>
        <r>
          <rPr>
            <b/>
            <sz val="8"/>
            <color indexed="81"/>
            <rFont val="Tahoma"/>
            <family val="2"/>
          </rPr>
          <t xml:space="preserve">9 l/min current BREEAM 2008 requirement level
</t>
        </r>
        <r>
          <rPr>
            <sz val="8"/>
            <color indexed="81"/>
            <rFont val="Tahoma"/>
            <family val="2"/>
          </rPr>
          <t xml:space="preserve">
darft BS8542 = 8 L/min for good</t>
        </r>
      </text>
    </comment>
    <comment ref="E9" authorId="0" shapeId="0" xr:uid="{00000000-0006-0000-0200-00002E000000}">
      <text>
        <r>
          <rPr>
            <sz val="8"/>
            <color indexed="81"/>
            <rFont val="Tahoma"/>
            <family val="2"/>
          </rPr>
          <t xml:space="preserve">Method assumes full occupancy between 08.00-17.59hrs and 50% between 18.00 - 07.59 hrs.
</t>
        </r>
      </text>
    </comment>
    <comment ref="N9" authorId="0" shapeId="0" xr:uid="{00000000-0006-0000-0200-00002F000000}">
      <text>
        <r>
          <rPr>
            <sz val="8"/>
            <color indexed="81"/>
            <rFont val="Tahoma"/>
            <family val="2"/>
          </rPr>
          <t>BNWAT22 has no data for shower use in industrial buildings. This figure is a BRE Global (TB) assumption based on the number of people that cycle to work as a proporption of the total work force in Great Britain, the assumption being that if a development provides a shower those that cycle will use it once a day. 
In Great Britain 3% of the workforce cycle to work (source  DfT transport stats for 2009). Therefore, an assumption is made that the average employee will use a shower (where provided) 0.03 times a day (or 6.6 times a year on average). Obviously if you cycle this will be alot more and if you don't it will be zero.
Exsting 2008 Water calc assume 0.1 uses/person/day. No idea where this figure comes from.
Entec report for CLG assumes that 5% of office employees will use a shower at work. The basis for this assumption was not stated and I believe it to be too high.</t>
        </r>
      </text>
    </comment>
    <comment ref="O9" authorId="0" shapeId="0" xr:uid="{00000000-0006-0000-0200-000030000000}">
      <text>
        <r>
          <rPr>
            <sz val="8"/>
            <color indexed="81"/>
            <rFont val="Tahoma"/>
            <family val="2"/>
          </rPr>
          <t>No bath use assumed in this building type.</t>
        </r>
      </text>
    </comment>
    <comment ref="P9" authorId="0" shapeId="0" xr:uid="{00000000-0006-0000-0200-000031000000}">
      <text>
        <r>
          <rPr>
            <sz val="8"/>
            <color indexed="81"/>
            <rFont val="Tahoma"/>
            <family val="2"/>
          </rPr>
          <t>No bath use assumed in this building type.</t>
        </r>
      </text>
    </comment>
    <comment ref="Q9" authorId="0" shapeId="0" xr:uid="{00000000-0006-0000-0200-000032000000}">
      <text>
        <r>
          <rPr>
            <sz val="8"/>
            <color indexed="81"/>
            <rFont val="Tahoma"/>
            <family val="2"/>
          </rPr>
          <t>No bath use assumed in this building type.</t>
        </r>
      </text>
    </comment>
    <comment ref="X9" authorId="0" shapeId="0" xr:uid="{00000000-0006-0000-0200-000033000000}">
      <text>
        <r>
          <rPr>
            <sz val="8"/>
            <color indexed="81"/>
            <rFont val="Tahoma"/>
            <family val="2"/>
          </rPr>
          <t>BS8525 COP Greywater systems: states a typical value of 1.58 litres/person/day.</t>
        </r>
      </text>
    </comment>
    <comment ref="AC9" authorId="0" shapeId="0" xr:uid="{00000000-0006-0000-0200-000034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9" authorId="0" shapeId="0" xr:uid="{00000000-0006-0000-0200-000035000000}">
      <text>
        <r>
          <rPr>
            <sz val="8"/>
            <color indexed="81"/>
            <rFont val="Tahoma"/>
            <family val="2"/>
          </rPr>
          <t>Source: CLG domestic water efficiency calc, also used in BS8525 COP for greywater systems.</t>
        </r>
      </text>
    </comment>
    <comment ref="AE9" authorId="0" shapeId="0" xr:uid="{00000000-0006-0000-0200-000036000000}">
      <text>
        <r>
          <rPr>
            <sz val="8"/>
            <color indexed="81"/>
            <rFont val="Tahoma"/>
            <family val="2"/>
          </rPr>
          <t>Source: CLG domestic water efficiency calc, also used in BS8525 COP for greywater systems</t>
        </r>
      </text>
    </comment>
    <comment ref="AQ9" authorId="0" shapeId="0" xr:uid="{00000000-0006-0000-0200-000037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9" authorId="0" shapeId="0" xr:uid="{00000000-0006-0000-0200-000038000000}">
      <text>
        <r>
          <rPr>
            <sz val="8"/>
            <color indexed="81"/>
            <rFont val="Tahoma"/>
            <family val="2"/>
          </rPr>
          <t>Two-thirds to account for the fact that taps will not to be run at full volume.</t>
        </r>
        <r>
          <rPr>
            <sz val="8"/>
            <color indexed="81"/>
            <rFont val="Tahoma"/>
            <family val="2"/>
          </rPr>
          <t xml:space="preserve">
</t>
        </r>
      </text>
    </comment>
    <comment ref="AU9" authorId="1" shapeId="0" xr:uid="{00000000-0006-0000-0200-000039000000}">
      <text>
        <r>
          <rPr>
            <sz val="8"/>
            <color indexed="81"/>
            <rFont val="Tahoma"/>
            <family val="2"/>
          </rPr>
          <t xml:space="preserve">The Water Supply Regulations 1999 imposes a legal requirement to notify the local water supplier of the proposed installation of a bath with a capacity in excess of 230 litres
SD175 table 2 volume  calculator for CSH starts at 130.
BNWAT07 states standard bath is 220 litres to overflow. Standard taken to mean standard within existing households. This reference states that 165 litre bath is an "undersized bath". BNWAT07 uses research undertaken by water utilities in the UK.
Communities and Local Government Research states 225 litres is the baseline.
Water efficiency label states that an average bath is 1700mm x 700mm and will hold 200 litres of water.200 litres is also the highest volume bath on water efficient product labelling scheme.
Based on various sources of data, decided to go with 200 litres as a baseline for new buildings in this methodology.
</t>
        </r>
      </text>
    </comment>
    <comment ref="AV9" authorId="0" shapeId="0" xr:uid="{00000000-0006-0000-0200-00003A000000}">
      <text>
        <r>
          <rPr>
            <sz val="8"/>
            <color indexed="81"/>
            <rFont val="Tahoma"/>
            <family val="2"/>
          </rPr>
          <t xml:space="preserve">AECB Water Standards good practice level
</t>
        </r>
      </text>
    </comment>
    <comment ref="AW9" authorId="0" shapeId="0" xr:uid="{00000000-0006-0000-0200-00003B000000}">
      <text>
        <r>
          <rPr>
            <b/>
            <sz val="8"/>
            <color indexed="81"/>
            <rFont val="Tahoma"/>
            <family val="2"/>
          </rPr>
          <t>Anything under 165 litres termed an "undersized bath" BNWat07</t>
        </r>
      </text>
    </comment>
    <comment ref="AX9" authorId="0" shapeId="0" xr:uid="{00000000-0006-0000-0200-00003C000000}">
      <text>
        <r>
          <rPr>
            <b/>
            <sz val="8"/>
            <color indexed="81"/>
            <rFont val="Tahoma"/>
            <family val="2"/>
          </rPr>
          <t>Corner bath size = 140 litres</t>
        </r>
      </text>
    </comment>
    <comment ref="AY9" authorId="0" shapeId="0" xr:uid="{00000000-0006-0000-0200-00003D000000}">
      <text>
        <r>
          <rPr>
            <b/>
            <sz val="8"/>
            <color indexed="81"/>
            <rFont val="Tahoma"/>
            <family val="2"/>
          </rPr>
          <t>SD175 table 2 volume  calculator for CSH starts at 130.</t>
        </r>
        <r>
          <rPr>
            <sz val="8"/>
            <color indexed="81"/>
            <rFont val="Tahoma"/>
            <family val="2"/>
          </rPr>
          <t xml:space="preserve">
</t>
        </r>
      </text>
    </comment>
    <comment ref="AZ9" authorId="1" shapeId="0" xr:uid="{00000000-0006-0000-0200-00003E000000}">
      <text>
        <r>
          <rPr>
            <b/>
            <sz val="8"/>
            <color indexed="81"/>
            <rFont val="Tahoma"/>
            <family val="2"/>
          </rPr>
          <t>BREEAM 2008 multi-res requirement</t>
        </r>
      </text>
    </comment>
    <comment ref="E10" authorId="0" shapeId="0" xr:uid="{00000000-0006-0000-0200-00003F000000}">
      <text>
        <r>
          <rPr>
            <sz val="8"/>
            <color indexed="81"/>
            <rFont val="Tahoma"/>
            <family val="2"/>
          </rPr>
          <t xml:space="preserve">i.e. 8.00am - 6.00pm = 10hrs. NCM database occupancy pattern.
</t>
        </r>
      </text>
    </comment>
    <comment ref="N10" authorId="0" shapeId="0" xr:uid="{00000000-0006-0000-0200-000040000000}">
      <text>
        <r>
          <rPr>
            <sz val="8"/>
            <color indexed="81"/>
            <rFont val="Tahoma"/>
            <family val="2"/>
          </rPr>
          <t>BNWAT22 has no data for shower use in industrial buildings. This figure is a BRE Global (TB) assumption based on the number of people that cycle to work as a proporption of the total work force in Great Britain, the assumption being that if a development provides a shower those that cycle will use it once a day. 
In Great Britain 3% of the workforce cycle to work (source  DfT transport stats for 2009). Therefore, an assumption is made that the average employee will use a shower (where provided) 0.03 times a day (or 6.6 times a year on average). Obviously if you cycle this will be alot more and if you don't it will be zero.
Exsting 2008 Water calc assume 0.1 uses/person/day. No idea where this figure comes from.
Entec report for CLG assumes that 5% of office employees will use a shower at work. The basis for this assumption was not stated and I believe it to be too high.</t>
        </r>
      </text>
    </comment>
    <comment ref="O10" authorId="0" shapeId="0" xr:uid="{00000000-0006-0000-0200-000041000000}">
      <text>
        <r>
          <rPr>
            <sz val="8"/>
            <color indexed="81"/>
            <rFont val="Tahoma"/>
            <family val="2"/>
          </rPr>
          <t>No bath use assumed in this building type.</t>
        </r>
      </text>
    </comment>
    <comment ref="P10" authorId="0" shapeId="0" xr:uid="{00000000-0006-0000-0200-000042000000}">
      <text>
        <r>
          <rPr>
            <sz val="8"/>
            <color indexed="81"/>
            <rFont val="Tahoma"/>
            <family val="2"/>
          </rPr>
          <t>No bath use assumed in this building type.</t>
        </r>
      </text>
    </comment>
    <comment ref="Q10" authorId="0" shapeId="0" xr:uid="{00000000-0006-0000-0200-000043000000}">
      <text>
        <r>
          <rPr>
            <sz val="8"/>
            <color indexed="81"/>
            <rFont val="Tahoma"/>
            <family val="2"/>
          </rPr>
          <t>No bath use assumed in this building type.</t>
        </r>
      </text>
    </comment>
    <comment ref="X10" authorId="0" shapeId="0" xr:uid="{00000000-0006-0000-0200-000044000000}">
      <text>
        <r>
          <rPr>
            <sz val="8"/>
            <color indexed="81"/>
            <rFont val="Tahoma"/>
            <family val="2"/>
          </rPr>
          <t>BS8525 COP Greywater systems: states a typical value of 1.58 litres/person/day.</t>
        </r>
      </text>
    </comment>
    <comment ref="AC10" authorId="0" shapeId="0" xr:uid="{00000000-0006-0000-0200-000045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10" authorId="0" shapeId="0" xr:uid="{00000000-0006-0000-0200-000046000000}">
      <text>
        <r>
          <rPr>
            <sz val="8"/>
            <color indexed="81"/>
            <rFont val="Tahoma"/>
            <family val="2"/>
          </rPr>
          <t>Source: CLG domestic water efficiency calc, also used in BS8525 COP for greywater systems.</t>
        </r>
      </text>
    </comment>
    <comment ref="AE10" authorId="0" shapeId="0" xr:uid="{00000000-0006-0000-0200-000047000000}">
      <text>
        <r>
          <rPr>
            <sz val="8"/>
            <color indexed="81"/>
            <rFont val="Tahoma"/>
            <family val="2"/>
          </rPr>
          <t>Source: CLG domestic water efficiency calc, also used in BS8525 COP for greywater systems</t>
        </r>
      </text>
    </comment>
    <comment ref="AQ10" authorId="0" shapeId="0" xr:uid="{00000000-0006-0000-0200-000048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10" authorId="0" shapeId="0" xr:uid="{00000000-0006-0000-0200-000049000000}">
      <text>
        <r>
          <rPr>
            <sz val="8"/>
            <color indexed="81"/>
            <rFont val="Tahoma"/>
            <family val="2"/>
          </rPr>
          <t>Two-thirds to account for the fact that taps will not to be run at full volume.</t>
        </r>
        <r>
          <rPr>
            <sz val="8"/>
            <color indexed="81"/>
            <rFont val="Tahoma"/>
            <family val="2"/>
          </rPr>
          <t xml:space="preserve">
</t>
        </r>
      </text>
    </comment>
    <comment ref="AU10" authorId="0" shapeId="0" xr:uid="{00000000-0006-0000-0200-00004A000000}">
      <text>
        <r>
          <rPr>
            <sz val="8"/>
            <color indexed="81"/>
            <rFont val="Tahoma"/>
            <family val="2"/>
          </rPr>
          <t>Equivalent to 9 litre cistern serving three urinals flushing 2.5 times an hour (Water Supply (Water Fittings) Regulations requirement for cistern supplying two or more urinals)</t>
        </r>
      </text>
    </comment>
    <comment ref="AV10" authorId="0" shapeId="0" xr:uid="{00000000-0006-0000-0200-00004B000000}">
      <text>
        <r>
          <rPr>
            <sz val="8"/>
            <color indexed="81"/>
            <rFont val="Tahoma"/>
            <family val="2"/>
          </rPr>
          <t>Equivalent to 9 litre cistern serving three urinals flushing twice an hour.</t>
        </r>
      </text>
    </comment>
    <comment ref="AW10" authorId="0" shapeId="0" xr:uid="{00000000-0006-0000-0200-00004C000000}">
      <text>
        <r>
          <rPr>
            <sz val="8"/>
            <color indexed="81"/>
            <rFont val="Tahoma"/>
            <family val="2"/>
          </rPr>
          <t>Equivalent to 9 litre cistern fluhing three urinals at intervals no more frequent than once per hour.</t>
        </r>
      </text>
    </comment>
    <comment ref="AX10" authorId="0" shapeId="0" xr:uid="{00000000-0006-0000-0200-00004D000000}">
      <text>
        <r>
          <rPr>
            <sz val="8"/>
            <color indexed="81"/>
            <rFont val="Tahoma"/>
            <family val="2"/>
          </rPr>
          <t>Equivalent to 9 litre cistern fluhing three urinals at intervals no more frequent than once every two hours.</t>
        </r>
        <r>
          <rPr>
            <sz val="8"/>
            <color indexed="81"/>
            <rFont val="Tahoma"/>
            <family val="2"/>
          </rPr>
          <t xml:space="preserve">
</t>
        </r>
      </text>
    </comment>
    <comment ref="AY10" authorId="0" shapeId="0" xr:uid="{00000000-0006-0000-0200-00004E000000}">
      <text>
        <r>
          <rPr>
            <sz val="8"/>
            <color indexed="81"/>
            <rFont val="Tahoma"/>
            <family val="2"/>
          </rPr>
          <t>Equivalent to 9 litre cistern flushing three urinals once every four hours.</t>
        </r>
      </text>
    </comment>
    <comment ref="AZ10" authorId="0" shapeId="0" xr:uid="{00000000-0006-0000-0200-00004F000000}">
      <text>
        <r>
          <rPr>
            <sz val="8"/>
            <color indexed="81"/>
            <rFont val="Tahoma"/>
            <family val="2"/>
          </rPr>
          <t>Waterless urinals</t>
        </r>
        <r>
          <rPr>
            <sz val="8"/>
            <color indexed="81"/>
            <rFont val="Tahoma"/>
            <family val="2"/>
          </rPr>
          <t xml:space="preserve">
</t>
        </r>
      </text>
    </comment>
    <comment ref="AU11" authorId="0" shapeId="0" xr:uid="{00000000-0006-0000-0200-000050000000}">
      <text>
        <r>
          <rPr>
            <sz val="8"/>
            <color indexed="81"/>
            <rFont val="Tahoma"/>
            <family val="2"/>
          </rPr>
          <t>Equivalent to 5 litre cistern serving one urinal flushing 2 times an hour (Water Supply (Water Fittings) Regulations requirement for cistern supplying one urinal).</t>
        </r>
      </text>
    </comment>
    <comment ref="AV11" authorId="0" shapeId="0" xr:uid="{00000000-0006-0000-0200-000051000000}">
      <text>
        <r>
          <rPr>
            <sz val="8"/>
            <color indexed="81"/>
            <rFont val="Tahoma"/>
            <family val="2"/>
          </rPr>
          <t>This is the equivalent proportion of improvement above the baseline (for one urinal) to that required for 2 urinls.</t>
        </r>
      </text>
    </comment>
    <comment ref="AW11" authorId="0" shapeId="0" xr:uid="{00000000-0006-0000-0200-000052000000}">
      <text>
        <r>
          <rPr>
            <sz val="8"/>
            <color indexed="81"/>
            <rFont val="Tahoma"/>
            <family val="2"/>
          </rPr>
          <t>This is the equivalent proportion of improvement above the baseline (for one urinal) to that required for 2 urinls.</t>
        </r>
      </text>
    </comment>
    <comment ref="AX11" authorId="0" shapeId="0" xr:uid="{00000000-0006-0000-0200-000053000000}">
      <text>
        <r>
          <rPr>
            <sz val="8"/>
            <color indexed="81"/>
            <rFont val="Tahoma"/>
            <family val="2"/>
          </rPr>
          <t>This is the equivalent proportion of improvement above the baseline (for one urinal) to that required for 2 urinls.</t>
        </r>
      </text>
    </comment>
    <comment ref="AY11" authorId="0" shapeId="0" xr:uid="{00000000-0006-0000-0200-000054000000}">
      <text>
        <r>
          <rPr>
            <sz val="8"/>
            <color indexed="81"/>
            <rFont val="Tahoma"/>
            <family val="2"/>
          </rPr>
          <t>This is the equivalent proportion of improvement above the baseline (for one urinal) to that required for 2 urinls.</t>
        </r>
      </text>
    </comment>
    <comment ref="AZ11" authorId="0" shapeId="0" xr:uid="{00000000-0006-0000-0200-000055000000}">
      <text>
        <r>
          <rPr>
            <sz val="8"/>
            <color indexed="81"/>
            <rFont val="Tahoma"/>
            <family val="2"/>
          </rPr>
          <t>Waterless urinals</t>
        </r>
        <r>
          <rPr>
            <sz val="8"/>
            <color indexed="81"/>
            <rFont val="Tahoma"/>
            <family val="2"/>
          </rPr>
          <t xml:space="preserve">
</t>
        </r>
      </text>
    </comment>
    <comment ref="AU12" authorId="0" shapeId="0" xr:uid="{00000000-0006-0000-0200-000056000000}">
      <text>
        <r>
          <rPr>
            <sz val="8"/>
            <color indexed="81"/>
            <rFont val="Tahoma"/>
            <family val="2"/>
          </rPr>
          <t>Requirement in The Water Supply (Water Fittings) Regulations 1999.</t>
        </r>
      </text>
    </comment>
    <comment ref="BA12" authorId="0" shapeId="0" xr:uid="{00000000-0006-0000-0200-000057000000}">
      <text>
        <r>
          <rPr>
            <sz val="8"/>
            <color indexed="81"/>
            <rFont val="Tahoma"/>
            <family val="2"/>
          </rPr>
          <t>Note: no specification against levels 1-5 as only the baseline level is needed for the purpose of this calculator for this type. This is the  spec used in the baseline building for urinals if the actual building contains waterless urinals.</t>
        </r>
      </text>
    </comment>
    <comment ref="AT13" authorId="0" shapeId="0" xr:uid="{00000000-0006-0000-0200-000058000000}">
      <text>
        <r>
          <rPr>
            <sz val="8"/>
            <color indexed="81"/>
            <rFont val="Tahoma"/>
            <family val="2"/>
          </rPr>
          <t>50% is the level required for credits in BREEAM 2008.
CLG Research to Assess the Costs and Benefits of Improvements to the Water Efficiency of New Non-household Buildings (Entec Oct 2009) specifies 75% of flushing demand from rainwater system for the proposed advanced level.
No level set for baseline and level 1 and 2. Level 3 set at a notional 25% to encourage specification or more improved component specification.</t>
        </r>
      </text>
    </comment>
    <comment ref="R14" authorId="0" shapeId="0" xr:uid="{00000000-0006-0000-0200-000059000000}">
      <text>
        <r>
          <rPr>
            <sz val="8"/>
            <color indexed="81"/>
            <rFont val="Tahoma"/>
            <family val="2"/>
          </rPr>
          <t>Source: Communities and Local Government Research to Assess the Costs and Benefits of Improvements to the Water Efficiency of New Non-household Buildings (Entec Oct 2009)</t>
        </r>
        <r>
          <rPr>
            <sz val="8"/>
            <color indexed="81"/>
            <rFont val="Tahoma"/>
            <family val="2"/>
          </rPr>
          <t xml:space="preserve">
</t>
        </r>
      </text>
    </comment>
    <comment ref="U14" authorId="0" shapeId="0" xr:uid="{00000000-0006-0000-0200-00005A000000}">
      <text>
        <r>
          <rPr>
            <sz val="8"/>
            <color indexed="81"/>
            <rFont val="Tahoma"/>
            <family val="2"/>
          </rPr>
          <t xml:space="preserve">One cycle accommodates 25 people i.e. 1/25=0.04 uses/person/day. 
Source: Communities and Local Government Research to Assess the Costs and Benefits of Improvements to the Water Efficiency of New Non-household Buildings (Entec Oct 2009).
</t>
        </r>
      </text>
    </comment>
    <comment ref="AH14" authorId="0" shapeId="0" xr:uid="{00000000-0006-0000-0200-00005B000000}">
      <text>
        <r>
          <rPr>
            <sz val="8"/>
            <color indexed="81"/>
            <rFont val="Tahoma"/>
            <family val="2"/>
          </rPr>
          <t>Communities and Local Government Research to Assess the Costs and Benefits of Improvements to the Water Efficiency of New Non-household Buildings (BD2683) states a factor of 0.67 for offices in its example calculation.</t>
        </r>
      </text>
    </comment>
    <comment ref="AT14" authorId="0" shapeId="0" xr:uid="{00000000-0006-0000-0200-00005C000000}">
      <text>
        <r>
          <rPr>
            <sz val="8"/>
            <color indexed="81"/>
            <rFont val="Tahoma"/>
            <family val="2"/>
          </rPr>
          <t>These figures will be adjusted by a factor of two-thirds in the calculation to account for the fact that taps tend not to be run at full volume.</t>
        </r>
        <r>
          <rPr>
            <sz val="8"/>
            <color indexed="81"/>
            <rFont val="Tahoma"/>
            <family val="2"/>
          </rPr>
          <t xml:space="preserve">
</t>
        </r>
      </text>
    </comment>
    <comment ref="AU14" authorId="0" shapeId="0" xr:uid="{00000000-0006-0000-0200-00005D000000}">
      <text>
        <r>
          <rPr>
            <sz val="8"/>
            <color indexed="81"/>
            <rFont val="Tahoma"/>
            <family val="2"/>
          </rPr>
          <t xml:space="preserve">Source: as WHB.
Also: Communities and Local Government Research to Assess the Costs and Benefits of Improvements to the Water Efficiency of New Non-household Buildings (Entec Oct 2009)
</t>
        </r>
      </text>
    </comment>
    <comment ref="AX14" authorId="0" shapeId="0" xr:uid="{00000000-0006-0000-0200-00005E000000}">
      <text>
        <r>
          <rPr>
            <b/>
            <sz val="8"/>
            <color indexed="81"/>
            <rFont val="Tahoma"/>
            <family val="2"/>
          </rPr>
          <t xml:space="preserve">Source: </t>
        </r>
        <r>
          <rPr>
            <sz val="8"/>
            <color indexed="81"/>
            <rFont val="Tahoma"/>
            <family val="2"/>
          </rPr>
          <t xml:space="preserve">Communities and Local Government Research to Assess the Costs and Benefits of Improvements to the Water Efficiency of New Non-household Buildings (Entec Oct 2009).
States 5 l/min in the minimum for the use of kitchen taps (due to them being used for cleaning/food prep).
</t>
        </r>
      </text>
    </comment>
    <comment ref="AY14" authorId="0" shapeId="0" xr:uid="{00000000-0006-0000-0200-00005F000000}">
      <text>
        <r>
          <rPr>
            <b/>
            <sz val="8"/>
            <color indexed="81"/>
            <rFont val="Tahoma"/>
            <family val="2"/>
          </rPr>
          <t xml:space="preserve">Source: </t>
        </r>
        <r>
          <rPr>
            <sz val="8"/>
            <color indexed="81"/>
            <rFont val="Tahoma"/>
            <family val="2"/>
          </rPr>
          <t xml:space="preserve">Communities and Local Government Research to Assess the Costs and Benefits of Improvements to the Water Efficiency of New Non-household Buildings (Entec Oct 2009).
States 5 l/min in the minimum for the use of kitchen taps (due to them being used for cleaning/food prep).
</t>
        </r>
      </text>
    </comment>
    <comment ref="AZ14" authorId="0" shapeId="0" xr:uid="{00000000-0006-0000-0200-000060000000}">
      <text>
        <r>
          <rPr>
            <b/>
            <sz val="8"/>
            <color indexed="81"/>
            <rFont val="Tahoma"/>
            <family val="2"/>
          </rPr>
          <t xml:space="preserve">Source: </t>
        </r>
        <r>
          <rPr>
            <sz val="8"/>
            <color indexed="81"/>
            <rFont val="Tahoma"/>
            <family val="2"/>
          </rPr>
          <t xml:space="preserve">Communities and Local Government Research to Assess the Costs and Benefits of Improvements to the Water Efficiency of New Non-household Buildings (Entec Oct 2009).
States 5 l/min in the minimum for the use of kitchen taps (due to them being used for cleaning/food prep).
</t>
        </r>
      </text>
    </comment>
    <comment ref="C15" authorId="0" shapeId="0" xr:uid="{00000000-0006-0000-0200-000061000000}">
      <text>
        <r>
          <rPr>
            <sz val="8"/>
            <color indexed="81"/>
            <rFont val="Tahoma"/>
            <family val="2"/>
          </rPr>
          <t xml:space="preserve">Note: this figure is use to calculated a default number of kitchen staff only.
An average restaurant has been modelled as having 25 employees serving 250 covers per day (Pacific Institute, 2003). For an office canteen/restaurant this figure is halved to 12.5 employees per 250 covers as it is assumed that office canteen/restaurants will not rely on a table service (as in a restaurant) and therefore will have less staff per cover as a result. Therefore, where there is a staff canteen/restaurant, the number of staff in that activity area is determined as follows:
An overall occupant density for seated dining areas of 0.358 persons/m2 is used for TCP B8 Class storage and distribution and 0.178 for TCP class B2-B7 general and special industrial to determine the number of people seated in the restaurant. Therefore, an average is used for this calculator of 0.268.
A period of 11am-3pm is used as a default hours of use by the building's staff, whereby occupant density fluctuates respectively during those hours as follows: 0.25, 1.0, 1.0, 0.75 (source NCM activity database); 
This results in an average occupant density of: 0.804 covers/hr/day.
If there are 12.5 kitchen employees per 250 covers, then there are 0.05 employees/cover; 
Therefore there are: 0.0402 kitchen employees/m2 of seated dining.
</t>
        </r>
      </text>
    </comment>
    <comment ref="V15" authorId="0" shapeId="0" xr:uid="{00000000-0006-0000-0200-000062000000}">
      <text>
        <r>
          <rPr>
            <sz val="8"/>
            <color indexed="81"/>
            <rFont val="Tahoma"/>
            <family val="2"/>
          </rPr>
          <t>It could be argued that there is likley to be a washing machine where there is a food preparation area, however, no data available for this component in this activity area. It is possible that it could be accounted for under the miscellaneous under food preparation (which is a fixed use).</t>
        </r>
      </text>
    </comment>
    <comment ref="Y15" authorId="0" shapeId="0" xr:uid="{00000000-0006-0000-0200-000063000000}">
      <text>
        <r>
          <rPr>
            <sz val="8"/>
            <color indexed="81"/>
            <rFont val="Tahoma"/>
            <family val="2"/>
          </rPr>
          <t>Units: litres/day
Fixed use for food preparation is based on a ‘standard’ restaurant. This ‘standard’ model gives details relating to a hotel with 25 staff serving 250 covers or meals per day, (source: BD2683 and sources contained therein), as follows:
0.33 kg of ice per meal
Food preparation sink: 113.4 litres (per day) / 250 covers = 0.4536 litres/cover
Food: 1.89 litres/cover
Total: 2.674 litres/cover
This figure is multiplied by 0.804 covers/m2 (see comment against occupant density for this building area for source of number) and the total area (m2) of the dining area to give the fixed use total here.
If there is no dining area, no figure is calculated.</t>
        </r>
      </text>
    </comment>
    <comment ref="Z15" authorId="0" shapeId="0" xr:uid="{00000000-0006-0000-0200-000064000000}">
      <text>
        <r>
          <rPr>
            <sz val="8"/>
            <color indexed="81"/>
            <rFont val="Arial"/>
            <family val="2"/>
          </rPr>
          <t>Units: litres/day
Fixed use for cleaning in a food preparation area is based on a ‘standard’ restaurant. This ‘standard’ model gives details relating to a hotel with 25 staff serving 250 covers or meals per day (Source: BD2683), as follows:
Pot and pan sink: 900 litres (3 x sinks filled with 150 litre capacity filled twice a day) / 250 covers = 3.6 litres/cover
Cleaning: 298.4 / 250 covers = 1.1936 litres/cover
Miscellaneous use: 378/250 = 1.52 litres/cover
Total: 6.314 litres/cover
This figure is multiplied by 0.804 covers/m2 (see comment against occupant density for this building area for source of number) and the total area (m2) of the dining area to give the fixed use total here.
If there is no dining area, no figure is calculated.</t>
        </r>
      </text>
    </comment>
    <comment ref="AI15" authorId="0" shapeId="0" xr:uid="{00000000-0006-0000-0200-000065000000}">
      <text>
        <r>
          <rPr>
            <b/>
            <sz val="8"/>
            <color indexed="81"/>
            <rFont val="Tahoma"/>
            <family val="2"/>
          </rPr>
          <t xml:space="preserve">Source: </t>
        </r>
        <r>
          <rPr>
            <sz val="8"/>
            <color indexed="81"/>
            <rFont val="Tahoma"/>
            <family val="2"/>
          </rPr>
          <t>washing up pre-rinse nozzles are used for 60 min per day (Pacific Institute, 2003; MWRA,1990)</t>
        </r>
        <r>
          <rPr>
            <sz val="8"/>
            <color indexed="81"/>
            <rFont val="Tahoma"/>
            <family val="2"/>
          </rPr>
          <t xml:space="preserve">
</t>
        </r>
      </text>
    </comment>
    <comment ref="AK15" authorId="0" shapeId="0" xr:uid="{00000000-0006-0000-0200-000066000000}">
      <text>
        <r>
          <rPr>
            <sz val="8"/>
            <color indexed="81"/>
            <rFont val="Tahoma"/>
            <family val="2"/>
          </rPr>
          <t>units: dishwasher cycle/m2
Communities and Local Government Research to Assess the Costs and Benefits of Improvements to the Water Efficiency of New Non-household Buildings (Entec Oct 2009) states each customer produces half a dishwasher rack of washing up per visit. This is for standard restaurant use. For an office canteen, this has been halved again to one quarter rack per cover on the basis that only one course is served at lunchtime, so less crockery than for standard restaurant (where two or three courses are to be assumed).
An overall occupant density for seated dining areas of 0.358 persons/m2 is used for TCP B8 Class storage and distribution and 0.178 for TCP class B2-B7 general and special industrial to determine the number of people seated in the restaurant. Therefore, an average is used for this calculator of 0.268.
A period of 11am-3pm is used as a default hours of use by the building's staff, whereby occupant density fluctuates respectively during those hours as follows: 0.25, 1.0, 1.0, 0.75 (source NCM activity database); 
This results in an average occupant density of: 0.804 covers/hr/day.
Therefore: 0.804 covers/m2/day * 0.25 racks/cover = 0.201 cycles/m2/day</t>
        </r>
      </text>
    </comment>
    <comment ref="AM15" authorId="0" shapeId="0" xr:uid="{00000000-0006-0000-0200-000067000000}">
      <text>
        <r>
          <rPr>
            <b/>
            <sz val="8"/>
            <color indexed="81"/>
            <rFont val="Tahoma"/>
            <family val="2"/>
          </rPr>
          <t>Source:</t>
        </r>
        <r>
          <rPr>
            <sz val="8"/>
            <color indexed="81"/>
            <rFont val="Tahoma"/>
            <family val="2"/>
          </rPr>
          <t xml:space="preserve"> waste disposal devices run for 30 min per day (Pacific Institute, 2003; MWRA,1990)</t>
        </r>
        <r>
          <rPr>
            <sz val="8"/>
            <color indexed="81"/>
            <rFont val="Tahoma"/>
            <family val="2"/>
          </rPr>
          <t xml:space="preserve">
</t>
        </r>
      </text>
    </comment>
    <comment ref="AT15" authorId="0" shapeId="0" xr:uid="{00000000-0006-0000-0200-000068000000}">
      <text>
        <r>
          <rPr>
            <sz val="8"/>
            <color indexed="81"/>
            <rFont val="Tahoma"/>
            <family val="2"/>
          </rPr>
          <t>Source: CLG research to Assess Costs and Benefits of Improvement to the Water Efficiency of New Non-Household Buildings states 10.3 as baseline and 6.3 as advanced level.
Internet search of products indicates nozzles available with flow rate less than 6 l/min, so 6 has been used as outstanding level. 
Intermediate levels linear between standard (10.3 l/min) and best practice (6.3 l/min)</t>
        </r>
        <r>
          <rPr>
            <sz val="8"/>
            <color indexed="81"/>
            <rFont val="Tahoma"/>
            <family val="2"/>
          </rPr>
          <t xml:space="preserve">
</t>
        </r>
      </text>
    </comment>
    <comment ref="C16" authorId="0" shapeId="0" xr:uid="{00000000-0006-0000-0200-000069000000}">
      <text>
        <r>
          <rPr>
            <sz val="8"/>
            <color indexed="81"/>
            <rFont val="Tahoma"/>
            <family val="2"/>
          </rPr>
          <t>For the purpose of this methodology zero has been used as the users of this facility will be the staff, whose number is determined based on the density of other activity areas , so to acount for occupancy against this activity area would double count the number of building users.</t>
        </r>
      </text>
    </comment>
    <comment ref="N16" authorId="0" shapeId="0" xr:uid="{00000000-0006-0000-0200-00006A000000}">
      <text>
        <r>
          <rPr>
            <sz val="8"/>
            <color indexed="81"/>
            <rFont val="Tahoma"/>
            <family val="2"/>
          </rPr>
          <t>For the purpose of shower use in this building type for a fitness suites/gym, it has been assumed that 80% of users of this facility will take a shower after use (this is a BRE assumption on the basis that most users will shower, though unlikely to be all, so a significant majority has been used).
The number of users for this facility has been determined as follows:
The percentage of all adults that undertake "30 minutes or more of moderate or vigorous activity on at least five days per week" is, according to the NHS Health Survey for England 2008 (Table 14 Trends table) 34%. The assumption has therefore been made that if a fitness suite is provided, then 50% of the staff who exercise for 30mins or more five times a week will take advantage of the fitness suite (or if not the suite, the changing/shower facilities becuase they jog or play other sports at work). Only half is used as it is assumed that at an equal number of the 34% will get their 30mins a day via attendance at sporting clubs outside of work.
The 3% of people that cycle to work in the UK (therefore fulfilling the recommended 30min requirement) has first been subtracted from 34% figure, prior to adjustments made above, and then added back on to the adjusted figure. This is because it has been assumed that all those who cycle will shower, therefore they should not be subject to the 80% and 50% adjustments.
Therefore, this usage ratio represents all shower use by staff in the building when a fitness suite/gym with a changing facilities is included (where it isn't the above usage ratio of 0.03 is used, which based on those who cycle).
No. of showers per person per day = ((34% - 3%) * 50% * 80%)) + 3% = 0.154 (15.4% of staff).</t>
        </r>
      </text>
    </comment>
    <comment ref="X16" authorId="0" shapeId="0" xr:uid="{00000000-0006-0000-0200-00006B000000}">
      <text>
        <r>
          <rPr>
            <sz val="8"/>
            <color indexed="81"/>
            <rFont val="Tahoma"/>
            <family val="2"/>
          </rPr>
          <t>CLG Research to Assess the Costs and Benefits of Improvements to the Water Efficiency of New Non-household Buildings states in its approach to drafting standard for leisure centres that each visitor uses 0.3 litre of water from a fountain or tap, for drinking (based on an average 1 hour visit). This figure has been used and adjusted to account for the 15.4% of staff that will use this facility (see note under shower use for how this figure was determined).
Fixed use vessel filling for the building (per/person) resulting from having a fitness suite is therefore: 0.3 * 0.154 = 0.05 litres.</t>
        </r>
      </text>
    </comment>
    <comment ref="AU16" authorId="0" shapeId="0" xr:uid="{00000000-0006-0000-0200-00006C000000}">
      <text>
        <r>
          <rPr>
            <sz val="8"/>
            <color indexed="81"/>
            <rFont val="Tahoma"/>
            <family val="2"/>
          </rPr>
          <t>Source: Communities and Local Government Research to Assess the Costs and Benefits of Improvements to the Water Efficiency of New Non-household Buildings (Entec Oct 2009)</t>
        </r>
      </text>
    </comment>
    <comment ref="AV16" authorId="0" shapeId="0" xr:uid="{00000000-0006-0000-0200-00006D000000}">
      <text>
        <r>
          <rPr>
            <sz val="8"/>
            <color indexed="81"/>
            <rFont val="Tahoma"/>
            <family val="2"/>
          </rPr>
          <t>Source: Communities and Local Government Research to Assess the Costs and Benefits of Improvements to the Water Efficiency of New Non-household Buildings (Entec Oct 2009)</t>
        </r>
      </text>
    </comment>
    <comment ref="AW16" authorId="0" shapeId="0" xr:uid="{00000000-0006-0000-0200-00006E000000}">
      <text>
        <r>
          <rPr>
            <sz val="8"/>
            <color indexed="81"/>
            <rFont val="Tahoma"/>
            <family val="2"/>
          </rPr>
          <t>Source: Communities and Local Government Research to Assess the Costs and Benefits of Improvements to the Water Efficiency of New Non-household Buildings (Entec Oct 2009)</t>
        </r>
      </text>
    </comment>
    <comment ref="AX16" authorId="1" shapeId="0" xr:uid="{00000000-0006-0000-0200-00006F000000}">
      <text>
        <r>
          <rPr>
            <b/>
            <sz val="8"/>
            <color indexed="81"/>
            <rFont val="Tahoma"/>
            <family val="2"/>
          </rPr>
          <t>BREEAM 2008 multi-res requirement</t>
        </r>
      </text>
    </comment>
    <comment ref="AZ16" authorId="0" shapeId="0" xr:uid="{00000000-0006-0000-0200-000070000000}">
      <text>
        <r>
          <rPr>
            <sz val="8"/>
            <color indexed="81"/>
            <rFont val="Tahoma"/>
            <family val="2"/>
          </rPr>
          <t>Waterwise 2007 dishwasher rankings contain products that achieve figures of 10, 9, 8 and 7.5 litres per cycle.</t>
        </r>
        <r>
          <rPr>
            <sz val="8"/>
            <color indexed="81"/>
            <rFont val="Tahoma"/>
            <family val="2"/>
          </rPr>
          <t xml:space="preserve">
</t>
        </r>
      </text>
    </comment>
    <comment ref="D17" authorId="0" shapeId="0" xr:uid="{00000000-0006-0000-0200-000071000000}">
      <text>
        <r>
          <rPr>
            <b/>
            <sz val="8"/>
            <color indexed="81"/>
            <rFont val="Tahoma"/>
            <family val="2"/>
          </rPr>
          <t>Source: BNWAT22</t>
        </r>
      </text>
    </comment>
    <comment ref="E17" authorId="0" shapeId="0" xr:uid="{00000000-0006-0000-0200-000072000000}">
      <text>
        <r>
          <rPr>
            <sz val="8"/>
            <color indexed="81"/>
            <rFont val="Tahoma"/>
            <family val="2"/>
          </rPr>
          <t xml:space="preserve">Assumes occupancy during 07.00-17.00hrs. Based on NCM database hours of occupancy for teaching space.
</t>
        </r>
      </text>
    </comment>
    <comment ref="I17" authorId="0" shapeId="0" xr:uid="{00000000-0006-0000-0200-000073000000}">
      <text>
        <r>
          <rPr>
            <sz val="8"/>
            <color indexed="81"/>
            <rFont val="Tahoma"/>
            <family val="2"/>
          </rPr>
          <t xml:space="preserve">Schools: BNWAT22 states two sanitary uses per day for pupils and a ratio of six urinal uses to 1 WC use. This equates to 0.33 uses per day for WCs and 1.66 for urinals (where urinals are specified).
Teachers/adults: Assumes the same ratio of use as adults in office building i.e. 4 uses per day, 1 WC to 3 urinal uses (where urinals are specified).
Overall figure: According to the National Statistics, DfE: School Workforce in England, November 2010 (statistical first release) the pupil teacher ratio for local authority maintained primary schools is 20.9. Therefore the usage for this component is aggregated to account for the contrubtion from staff and pupils, as follows:
Staff: 
1/20.9 = 0.0478 i.e. 4.8%
1 (uses/day) *0.048 = 0.048
Pupils:
20.9-1/20.9 = 0.952 i.e. 95.2%
0.33 (uses/day) * 0.952 = 0.314
Overall: 0.048 + 0.314 = 0.362 i.e. 0.36 aggregated uses per person.
</t>
        </r>
      </text>
    </comment>
    <comment ref="J17" authorId="0" shapeId="0" xr:uid="{00000000-0006-0000-0200-000074000000}">
      <text>
        <r>
          <rPr>
            <sz val="8"/>
            <color indexed="81"/>
            <rFont val="Tahoma"/>
            <family val="2"/>
          </rPr>
          <t>Schools: BNWAT22 states two sanitary uses per day for pupils.
Teachers/adults: Assumes the same ratio of use as adults in office building i.e. 4 uses per day.
Overall figure: According to the National Statistics, DfE: School Workforce in England, November 2010 (statistical first release) the pupil teacher ratio for local authority maintained primary schools is 20.9. Therefore the usage for this component is aggregated to account for the contrubtion from staff and pupils, as follows:
Staff: 
1/20.9 = 0.0478 i.e. 4.8%
4 (uses/day) *0.048 = 0.192
Pupils:
20.9-1/20.9 = 0.952 i.e. 95.2%
2 (uses/day) * 0.952 = 1.904
Overall: 1.904 + 0.192 = 2.096 i.e. 2.1 aggregated uses per person.</t>
        </r>
      </text>
    </comment>
    <comment ref="L17" authorId="0" shapeId="0" xr:uid="{00000000-0006-0000-0200-000075000000}">
      <text>
        <r>
          <rPr>
            <sz val="8"/>
            <color indexed="81"/>
            <rFont val="Tahoma"/>
            <family val="2"/>
          </rPr>
          <t>Schools: BNWAT22 states two sanitary uses per day for pupils and a ratio of six urinal uses to 1 WC use. This equates to 0.33 uses per day for WCs and 1.66 for urinals (where urinals are specified).
Teachers/adults: Assumes the same ratio of use as adults in office building i.e. 4 uses per day, 1 WC to 3 urinal uses (where urinals are specified).
Therefore, based on the aggregate pupil/staff figure of 2.10 sanitary uses per day (see WC male component for description of how this figure is calculated), the aggregate number of urinal uses per person(male) per day is:
2.10-0.36 = 1.74.</t>
        </r>
      </text>
    </comment>
    <comment ref="N17" authorId="0" shapeId="0" xr:uid="{00000000-0006-0000-0200-000076000000}">
      <text>
        <r>
          <rPr>
            <sz val="8"/>
            <color indexed="81"/>
            <rFont val="Tahoma"/>
            <family val="2"/>
          </rPr>
          <t xml:space="preserve">Pupils: No specific data available/found on shower use by pupils in schools. School Sport Survey 2007/08  found that 90% of pupils in partnership schools participated in at least two hours of high quality PE and out of hours school sport in a typical week (in accordance with the DfES service agreement for PE). For the purpose of this calculator, an assumption has been made that these two hours of sport are undetaken in two separate slots in the school week and that after each slot the pupils will take a shower (where showers are provided in the school). Therefore, the average shower use per pupil per day is 0.4 i.e. 2/5 days.
Staff: No specific figure for adult shower use in education buildings, therefore a figure of 0.03 is used, the same as that used for showers in offices (using the same assumptions). This figure has been aggregated according to the typical pupil teacher ratio in primary schools of 15.6 (Source: National Statistics, DfE: School Workforce in England, November 2010 (statistical first release)) as follows:
Staff: 
1/20.9 = 0.0478 i.e. 4.8%
0.03 (uses/day) *0.048 = 0.00144 i.e. 0.0014
Therefore, where no showers are available for pupils, the figure above of 0.0014 is used for staff in primary schools. </t>
        </r>
      </text>
    </comment>
    <comment ref="O17" authorId="0" shapeId="0" xr:uid="{00000000-0006-0000-0200-000077000000}">
      <text>
        <r>
          <rPr>
            <sz val="8"/>
            <color indexed="81"/>
            <rFont val="Tahoma"/>
            <family val="2"/>
          </rPr>
          <t>No bath use assumed in this building type.</t>
        </r>
      </text>
    </comment>
    <comment ref="P17" authorId="0" shapeId="0" xr:uid="{00000000-0006-0000-0200-000078000000}">
      <text>
        <r>
          <rPr>
            <sz val="8"/>
            <color indexed="81"/>
            <rFont val="Tahoma"/>
            <family val="2"/>
          </rPr>
          <t>No bath use assumed in this building type.</t>
        </r>
      </text>
    </comment>
    <comment ref="Q17" authorId="0" shapeId="0" xr:uid="{00000000-0006-0000-0200-000079000000}">
      <text>
        <r>
          <rPr>
            <sz val="8"/>
            <color indexed="81"/>
            <rFont val="Tahoma"/>
            <family val="2"/>
          </rPr>
          <t>No bath use assumed in this building type.</t>
        </r>
      </text>
    </comment>
    <comment ref="R17" authorId="0" shapeId="0" xr:uid="{00000000-0006-0000-0200-00007A000000}">
      <text>
        <r>
          <rPr>
            <sz val="8"/>
            <color indexed="81"/>
            <rFont val="Tahoma"/>
            <family val="2"/>
          </rPr>
          <t>As per offices, 1 component use per day for staff is used. Source: Communities and Local Government Research to Assess the Costs and Benefits of Improvements to the Water Efficiency of New Non-household Buildings (Entec Oct 2009). 
This figure is adjusted bythe pupil teacher ratio for primary schools of 20.9 (Source: National Statistics, DfE: School Workforce in England, November 2010 (statistical first release)) to account for only staff use in the per/person total:
1/20.9 = 0.0478 i.e. 4.8%
1 (uses/day) *0.048 = 0.048 i.e. 0.05.</t>
        </r>
        <r>
          <rPr>
            <sz val="8"/>
            <color indexed="81"/>
            <rFont val="Tahoma"/>
            <family val="2"/>
          </rPr>
          <t xml:space="preserve">
</t>
        </r>
      </text>
    </comment>
    <comment ref="X17" authorId="0" shapeId="0" xr:uid="{00000000-0006-0000-0200-00007B000000}">
      <text>
        <r>
          <rPr>
            <sz val="8"/>
            <color indexed="81"/>
            <rFont val="Tahoma"/>
            <family val="2"/>
          </rPr>
          <t>Pupils: MTP BNWat22 states 2 litres per pupil per day.
Staff: as per offices, BS8525 COP Greywater systems states a typical value of 1.58 litres/person/day.
This aggregate figure as been determined using the pupil teacher ratio for primary schools of 20.9 (Source: National Statistics, DfE: School Workforce in England, November 2010 (statistical first release)) as follows:
Staff: 
1/20.9 = 0.0478 i.e. 4.8%
1.58 (litres/day) *0.048 = 0.07584
Pupils:
20.9-1/20.9 = 0.952 i.e. 95.2%
2 (litres/day) * 0.952 = 1.904
Overall:  0.07584 + 1.904 = 1.97984  i.e. 1.98 aggregated litres per person.</t>
        </r>
      </text>
    </comment>
    <comment ref="AC17" authorId="0" shapeId="0" xr:uid="{00000000-0006-0000-0200-00007C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17" authorId="0" shapeId="0" xr:uid="{00000000-0006-0000-0200-00007D000000}">
      <text>
        <r>
          <rPr>
            <sz val="8"/>
            <color indexed="81"/>
            <rFont val="Tahoma"/>
            <family val="2"/>
          </rPr>
          <t>Pupils: For leisure centres BD2683 states that each swimmer uses a push button shower twice (60 seconds) after swimming i.e. 1 minute 20 second shower. This figure has been used for pupils in schools as it has been assumed to more accurately reflect the length of shower use for these users (5mins 60 seconds for adults in offices was deemed excessive for this type of user and activity).
Where no showers provided for pupils (but possibly for a staff shower is available) a default is used for staff as per offices, i.e.5.60 minutes (Source: CLG domestic water efficiency calc, also used in BS8525 COP for greywater systems).</t>
        </r>
      </text>
    </comment>
    <comment ref="AQ17" authorId="0" shapeId="0" xr:uid="{00000000-0006-0000-0200-00007E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17" authorId="0" shapeId="0" xr:uid="{00000000-0006-0000-0200-00007F000000}">
      <text>
        <r>
          <rPr>
            <sz val="8"/>
            <color indexed="81"/>
            <rFont val="Tahoma"/>
            <family val="2"/>
          </rPr>
          <t>Two-thirds to account for the fact that taps will not to be run at full volume.</t>
        </r>
        <r>
          <rPr>
            <sz val="8"/>
            <color indexed="81"/>
            <rFont val="Tahoma"/>
            <family val="2"/>
          </rPr>
          <t xml:space="preserve">
</t>
        </r>
      </text>
    </comment>
    <comment ref="AT17" authorId="0" shapeId="0" xr:uid="{00000000-0006-0000-0200-000080000000}">
      <text>
        <r>
          <rPr>
            <sz val="8"/>
            <color indexed="81"/>
            <rFont val="Tahoma"/>
            <family val="2"/>
          </rPr>
          <t xml:space="preserve">Consumption uses litres per use (assuming a full load) rather than litres/kg, because that would require a factor of use for most building types which is not known.
WRAS requirements: appliances used for domestic purposes achieve the following water consumption performance per cycle:
Horizontal axis washing machine: 27 litres per kg washload (standard 60°C cotton cycle).
All new domestic washing machine products are well within this limit, the best are around 6 or 7 kg/litre.
</t>
        </r>
      </text>
    </comment>
    <comment ref="AU17" authorId="0" shapeId="0" xr:uid="{00000000-0006-0000-0200-000081000000}">
      <text>
        <r>
          <rPr>
            <b/>
            <sz val="8"/>
            <color indexed="81"/>
            <rFont val="Tahoma"/>
            <family val="2"/>
          </rPr>
          <t xml:space="preserve">Source: </t>
        </r>
        <r>
          <rPr>
            <sz val="8"/>
            <color indexed="81"/>
            <rFont val="Tahoma"/>
            <family val="2"/>
          </rPr>
          <t>CLG research to Assess Costs and Benefits of Improvement to the Water Efficiency of New Non-Household Buildings states 13.84 litres/kg is the baseline, this equates to approximately 90 litres/use (using a conversion factor of 6.5, based on average determined using Waterwise data).</t>
        </r>
        <r>
          <rPr>
            <sz val="8"/>
            <color indexed="81"/>
            <rFont val="Tahoma"/>
            <family val="2"/>
          </rPr>
          <t xml:space="preserve">
</t>
        </r>
      </text>
    </comment>
    <comment ref="AV17" authorId="0" shapeId="0" xr:uid="{00000000-0006-0000-0200-000082000000}">
      <text>
        <r>
          <rPr>
            <sz val="8"/>
            <color indexed="81"/>
            <rFont val="Tahoma"/>
            <family val="2"/>
          </rPr>
          <t>A Which? Test of washing machines stated results for the average of machines tested at 9.5 litres/kg. Using conversion factor used in baseline (see comment) this equates to just over 60 litres, so this has been used to set the pass level.</t>
        </r>
        <r>
          <rPr>
            <sz val="8"/>
            <color indexed="81"/>
            <rFont val="Tahoma"/>
            <family val="2"/>
          </rPr>
          <t xml:space="preserve">
This also corresponds with the average from CLG Research, appendix L data.</t>
        </r>
      </text>
    </comment>
    <comment ref="AX17" authorId="1" shapeId="0" xr:uid="{00000000-0006-0000-0200-000083000000}">
      <text>
        <r>
          <rPr>
            <sz val="8"/>
            <color indexed="81"/>
            <rFont val="Tahoma"/>
            <family val="2"/>
          </rPr>
          <t>BREEAM 2008 multi-res requirement
According to Waterwise database of washing machine products, this is at the top end of the list in terms of water efficient products available, at the time.</t>
        </r>
      </text>
    </comment>
    <comment ref="AZ17" authorId="0" shapeId="0" xr:uid="{00000000-0006-0000-0200-000084000000}">
      <text>
        <r>
          <rPr>
            <sz val="8"/>
            <color indexed="81"/>
            <rFont val="Tahoma"/>
            <family val="2"/>
          </rPr>
          <t xml:space="preserve">
, appendix L gives a minimum of 4.5 l/kg for a range of appliances assessed.</t>
        </r>
        <r>
          <rPr>
            <sz val="8"/>
            <color indexed="81"/>
            <rFont val="Tahoma"/>
            <family val="2"/>
          </rPr>
          <t xml:space="preserve">
Using th econversion factor of 6.5 (see other comment box) this equates to approx 30 litres/use.
This also agrees with a Which? test of products, which stated the best was 31 litres.</t>
        </r>
      </text>
    </comment>
    <comment ref="D18" authorId="0" shapeId="0" xr:uid="{00000000-0006-0000-0200-000085000000}">
      <text>
        <r>
          <rPr>
            <b/>
            <sz val="8"/>
            <color indexed="81"/>
            <rFont val="Tahoma"/>
            <family val="2"/>
          </rPr>
          <t>Source: BNWAT22</t>
        </r>
      </text>
    </comment>
    <comment ref="E18" authorId="0" shapeId="0" xr:uid="{00000000-0006-0000-0200-000086000000}">
      <text>
        <r>
          <rPr>
            <sz val="8"/>
            <color indexed="81"/>
            <rFont val="Tahoma"/>
            <family val="2"/>
          </rPr>
          <t xml:space="preserve">Assumes occupancy during 07.00-17.00hrs. Based on NCM database hours of occupancy for teaching space.
</t>
        </r>
      </text>
    </comment>
    <comment ref="I18" authorId="0" shapeId="0" xr:uid="{00000000-0006-0000-0200-000087000000}">
      <text>
        <r>
          <rPr>
            <sz val="8"/>
            <color indexed="81"/>
            <rFont val="Tahoma"/>
            <family val="2"/>
          </rPr>
          <t>Schools: BNWAT22 states two sanitary uses per day for pupils and a ratio of six urinal uses to 1 WC use. This equates to 0.33 uses per day for WCs and 1.66 for urinals (where urinals are specified).
Teachers/adults: Assumes the same ratio of use as adults in office building i.e. 4 uses per day, 1 WC to 3 urinal uses (where urinals are specified).
Overall figure: According to the National Statistics, DfE: School Workforce in England, November 2010 (statistical first release) the pupil teacher ratio for local authority maintained seocndary schools is 15.6. Therefore the usage for this component is aggregated to account for the contrubtion from staff and pupils, as follows:
Staff: 
1/15.6 = 0.0641 i.e. 6.4%
1 (uses/day) *0.064 = 0.064
Pupils:
15.6-1/15.6 = 0.9358 i.e. 93.6%
0.33 (uses/day) * 0.936 = 0.3088
Overall: 0.064 + 0.3088 = 0.372 i.e. 0.37 aggregated uses per person.</t>
        </r>
        <r>
          <rPr>
            <b/>
            <sz val="8"/>
            <color indexed="81"/>
            <rFont val="Tahoma"/>
            <family val="2"/>
          </rPr>
          <t xml:space="preserve">
</t>
        </r>
        <r>
          <rPr>
            <sz val="8"/>
            <color indexed="81"/>
            <rFont val="Tahoma"/>
            <family val="2"/>
          </rPr>
          <t xml:space="preserve">
</t>
        </r>
      </text>
    </comment>
    <comment ref="J18" authorId="0" shapeId="0" xr:uid="{00000000-0006-0000-0200-000088000000}">
      <text>
        <r>
          <rPr>
            <sz val="8"/>
            <color indexed="81"/>
            <rFont val="Tahoma"/>
            <family val="2"/>
          </rPr>
          <t xml:space="preserve">Schools: BNWAT22 states two sanitary uses per day for pupils.
Teachers/adults: Assumes the same ratio of use as adults in office building i.e. 4 uses per day.
Overall figure: According to the National Statistics, DfE: School Workforce in England, November 2010 (statistical first release) the pupil teacher ratio for local authority maintained secondary schools is 15.6. Therefore the usage for this component is aggregated to account for the contrubtion from staff and pupils, as follows:
Staff: 
1/15.6 = 0.0641 i.e. 6.4%
4 (uses/day) *0.0641 = 0.2564
Pupils:
15.6-1/15.6 = 0.93589 i.e. 93.6%
2 (uses/day) * 0.936 = 1.872
Overall: 0.2564 + 1.872 = 2.1284 i.e. 2.13 aggregated uses per person.
</t>
        </r>
      </text>
    </comment>
    <comment ref="L18" authorId="0" shapeId="0" xr:uid="{00000000-0006-0000-0200-000089000000}">
      <text>
        <r>
          <rPr>
            <sz val="8"/>
            <color indexed="81"/>
            <rFont val="Tahoma"/>
            <family val="2"/>
          </rPr>
          <t xml:space="preserve">Schools: BNWAT22 states two sanitary uses per day for pupils and a ratio of six urinal uses to 1 WC use. This equates to 0.33 uses per day for WCs and 1.66 for urinals (where urinals are specified).
Teachers/adults: Assumes the same ratio of use as adults in office building i.e. 4 uses per day, 1 WC to 3 urinal uses (where urinals are specified).
Therefore, based on the aggregate pupil/staff figure of 2.13 sanitary uses per day (see WC male component for description of how this figure is calculated), the aggregate number of urinal uses per person(male) per day is:
2.13-0.37 = 1.76.
</t>
        </r>
      </text>
    </comment>
    <comment ref="N18" authorId="0" shapeId="0" xr:uid="{00000000-0006-0000-0200-00008A000000}">
      <text>
        <r>
          <rPr>
            <sz val="8"/>
            <color indexed="81"/>
            <rFont val="Tahoma"/>
            <family val="2"/>
          </rPr>
          <t>Pupils: No specific data available/found on shower use by pupils in schools. School Sport Survey 2007/08  found that 90% of pupils in partnership schools participated in at least two hours of high quality PE and out of hours school sport in a typical week (in accordance with the DfES service agreement for PE). For the purpose of this calculator, an assumption has been made that these two hours of sport are undetaken in two separate slots in the school week and that after each slot the pupils will take a shower (where showers are provided in the school). Therefore, the average shower use per pupil per day is 0.4 i.e. 2/5 days.
Staff: No specific figure for adult shower use in education buildings, therefore a figure of 0.03 is used, the same as that used for showers in offices (using the same assumptions). This figure has been aggregated according to the typical pupil teacher ratio in secondary schools of 15.6 (Source: National Statistics, DfE: School Workforce in England, November 2010 (statistical first release)) as follows:
Staff: 
1/15.6 = 0.0641 i.e. 6.4%
0.03 (uses/day) *0.064 = 0.00192 i.e. 0.002
Therefore, where no showers are available for pupils, the figure above of 0.002 is used in secondary schools.</t>
        </r>
      </text>
    </comment>
    <comment ref="O18" authorId="0" shapeId="0" xr:uid="{00000000-0006-0000-0200-00008B000000}">
      <text>
        <r>
          <rPr>
            <sz val="8"/>
            <color indexed="81"/>
            <rFont val="Tahoma"/>
            <family val="2"/>
          </rPr>
          <t>No bath use assumed in this building type.</t>
        </r>
      </text>
    </comment>
    <comment ref="P18" authorId="0" shapeId="0" xr:uid="{00000000-0006-0000-0200-00008C000000}">
      <text>
        <r>
          <rPr>
            <sz val="8"/>
            <color indexed="81"/>
            <rFont val="Tahoma"/>
            <family val="2"/>
          </rPr>
          <t>No bath use assumed in this building type.</t>
        </r>
      </text>
    </comment>
    <comment ref="Q18" authorId="0" shapeId="0" xr:uid="{00000000-0006-0000-0200-00008D000000}">
      <text>
        <r>
          <rPr>
            <sz val="8"/>
            <color indexed="81"/>
            <rFont val="Tahoma"/>
            <family val="2"/>
          </rPr>
          <t>No bath use assumed in this building type.</t>
        </r>
      </text>
    </comment>
    <comment ref="R18" authorId="0" shapeId="0" xr:uid="{00000000-0006-0000-0200-00008E000000}">
      <text>
        <r>
          <rPr>
            <sz val="8"/>
            <color indexed="81"/>
            <rFont val="Tahoma"/>
            <family val="2"/>
          </rPr>
          <t>As per offices, 1 component use per day for staff is used. Source: Communities and Local Government Research to Assess the Costs and Benefits of Improvements to the Water Efficiency of New Non-household Buildings (Entec Oct 2009). 
This figure is adjusted bythe pupil teacher ratio for secondary schools of 15.6 (Source: National Statistics, DfE: School Workforce in England, November 2010 (statistical first release)) to account for only staff use in the per/person total:
1/15.6 = 0.0641 i.e. 6.4%
1 (uses/day) *0.064 = 0.064 i.e. 0.06.</t>
        </r>
        <r>
          <rPr>
            <sz val="8"/>
            <color indexed="81"/>
            <rFont val="Tahoma"/>
            <family val="2"/>
          </rPr>
          <t xml:space="preserve">
</t>
        </r>
      </text>
    </comment>
    <comment ref="X18" authorId="0" shapeId="0" xr:uid="{00000000-0006-0000-0200-00008F000000}">
      <text>
        <r>
          <rPr>
            <sz val="8"/>
            <color indexed="81"/>
            <rFont val="Tahoma"/>
            <family val="2"/>
          </rPr>
          <t xml:space="preserve">Pupils: MTP BNWat22 states 2 litres per pupil per day.
Staff: as per offices, BS8525 COP Greywater systems states a typical value of 1.58 litres/person/day.
These figures have been aggregated according to the typical pupil teacher ratio in secondary schools of 15.6 (Source: National Statistics, DfE: School Workforce in England, November 2010 (statistical first release)) as follows:
Staff: 
1/15.6 = 0.0641 i.e. 6.4%
1.58 (litres/day) *0.0641 = 0.1012
Pupils:
15.6-1/15.6 = 0.93589 i.e. 93.6%
2.0 (litres/day) * 0.936 = 1.872
Overall: 0.1012 + 1.872 = 1.9732 i.e. 1.97 aggregated litres per person.
</t>
        </r>
      </text>
    </comment>
    <comment ref="AC18" authorId="0" shapeId="0" xr:uid="{00000000-0006-0000-0200-000090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18" authorId="0" shapeId="0" xr:uid="{00000000-0006-0000-0200-000091000000}">
      <text>
        <r>
          <rPr>
            <sz val="8"/>
            <color indexed="81"/>
            <rFont val="Tahoma"/>
            <family val="2"/>
          </rPr>
          <t xml:space="preserve">Pupils: For leisure centres BD2683 states that each swimmer uses a push button shower twice (60 seconds) after swimming i.e. 1 minute 20 second shower. This figure has been used for pupils in schools as it has been assumed to more accurately reflect the length of shower use for these users (5mins 60 seconds for adults in offices was deemed excessive for this type of user and activity).
Where no showers provided for pupils (but possibly for a staff shower is available) a default is used for staff as per offices, i.e.5.60 minutes (Source: CLG domestic water efficiency calc, also used in BS8525 COP for greywater systems).
</t>
        </r>
      </text>
    </comment>
    <comment ref="AQ18" authorId="0" shapeId="0" xr:uid="{00000000-0006-0000-0200-000092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18" authorId="0" shapeId="0" xr:uid="{00000000-0006-0000-0200-000093000000}">
      <text>
        <r>
          <rPr>
            <sz val="8"/>
            <color indexed="81"/>
            <rFont val="Tahoma"/>
            <family val="2"/>
          </rPr>
          <t>Two-thirds to account for the fact that taps will not to be run at full volume.</t>
        </r>
        <r>
          <rPr>
            <sz val="8"/>
            <color indexed="81"/>
            <rFont val="Tahoma"/>
            <family val="2"/>
          </rPr>
          <t xml:space="preserve">
</t>
        </r>
      </text>
    </comment>
    <comment ref="AT18" authorId="0" shapeId="0" xr:uid="{00000000-0006-0000-0200-000094000000}">
      <text>
        <r>
          <rPr>
            <b/>
            <sz val="8"/>
            <color indexed="81"/>
            <rFont val="Tahoma"/>
            <family val="2"/>
          </rPr>
          <t>Source:</t>
        </r>
        <r>
          <rPr>
            <sz val="8"/>
            <color indexed="81"/>
            <rFont val="Tahoma"/>
            <family val="2"/>
          </rPr>
          <t xml:space="preserve"> CLG research to Assess Costs and Benefits of Improvement to the Water Efficiency of New Non-Household Buildings states 17.0 as baseline, basic and intermediate specification; with advanced spec being "device removed".
Water-efficient-building.org states: Installation and use of waste disposal units is discouraged. In addition to their water consumption, disposing of food waste down the sink can lead to blockages, flooding, environmental pollution, odours and other public health hazards, including encouraging rat populations.
Therefore, for BREEAM, no device fitted is the option defined for levels 2 - 5. This is to encourage the recycling/composting of food waste, not disposal to mains sewer.</t>
        </r>
        <r>
          <rPr>
            <sz val="8"/>
            <color indexed="81"/>
            <rFont val="Tahoma"/>
            <family val="2"/>
          </rPr>
          <t xml:space="preserve">
http://www.water.org.uk/home/policy/positions/waste-macerators-position-paper</t>
        </r>
      </text>
    </comment>
    <comment ref="D19" authorId="0" shapeId="0" xr:uid="{00000000-0006-0000-0200-000095000000}">
      <text>
        <r>
          <rPr>
            <b/>
            <sz val="8"/>
            <color indexed="81"/>
            <rFont val="Tahoma"/>
            <family val="2"/>
          </rPr>
          <t>Source: BNWAT22</t>
        </r>
      </text>
    </comment>
    <comment ref="E19" authorId="0" shapeId="0" xr:uid="{00000000-0006-0000-0200-000096000000}">
      <text>
        <r>
          <rPr>
            <sz val="8"/>
            <color indexed="81"/>
            <rFont val="Tahoma"/>
            <family val="2"/>
          </rPr>
          <t xml:space="preserve">Assumes occupancy during 07.00-17.00hrs. Based on NCM database hours of occupancy for teaching space.
</t>
        </r>
      </text>
    </comment>
    <comment ref="I19" authorId="0" shapeId="0" xr:uid="{00000000-0006-0000-0200-000097000000}">
      <text>
        <r>
          <rPr>
            <sz val="8"/>
            <color indexed="81"/>
            <rFont val="Tahoma"/>
            <family val="2"/>
          </rPr>
          <t>Assumes the same ratio of use as adults in office building.</t>
        </r>
      </text>
    </comment>
    <comment ref="J19" authorId="0" shapeId="0" xr:uid="{00000000-0006-0000-0200-000098000000}">
      <text>
        <r>
          <rPr>
            <sz val="8"/>
            <color indexed="81"/>
            <rFont val="Tahoma"/>
            <family val="2"/>
          </rPr>
          <t>Assumes the same ratio of use as adults in office building.</t>
        </r>
        <r>
          <rPr>
            <b/>
            <sz val="8"/>
            <color indexed="81"/>
            <rFont val="Tahoma"/>
            <family val="2"/>
          </rPr>
          <t xml:space="preserve">
</t>
        </r>
        <r>
          <rPr>
            <sz val="8"/>
            <color indexed="81"/>
            <rFont val="Tahoma"/>
            <family val="2"/>
          </rPr>
          <t xml:space="preserve">
</t>
        </r>
      </text>
    </comment>
    <comment ref="N19" authorId="0" shapeId="0" xr:uid="{00000000-0006-0000-0200-000099000000}">
      <text>
        <r>
          <rPr>
            <sz val="8"/>
            <color indexed="81"/>
            <rFont val="Tahoma"/>
            <family val="2"/>
          </rPr>
          <t>No specific figure for adult shower use in education buildings, therefore the figure is the same as that used for showers in offices where there is no sporting facility/gym i.e. 0.03 or where there is a sporting facility i.e. 0.154 (using the same assumptions).</t>
        </r>
      </text>
    </comment>
    <comment ref="O19" authorId="0" shapeId="0" xr:uid="{00000000-0006-0000-0200-00009A000000}">
      <text>
        <r>
          <rPr>
            <sz val="8"/>
            <color indexed="81"/>
            <rFont val="Tahoma"/>
            <family val="2"/>
          </rPr>
          <t>No bath use assumed in this building type.</t>
        </r>
      </text>
    </comment>
    <comment ref="P19" authorId="0" shapeId="0" xr:uid="{00000000-0006-0000-0200-00009B000000}">
      <text>
        <r>
          <rPr>
            <sz val="8"/>
            <color indexed="81"/>
            <rFont val="Tahoma"/>
            <family val="2"/>
          </rPr>
          <t>No bath use assumed in this building type.</t>
        </r>
      </text>
    </comment>
    <comment ref="Q19" authorId="0" shapeId="0" xr:uid="{00000000-0006-0000-0200-00009C000000}">
      <text>
        <r>
          <rPr>
            <sz val="8"/>
            <color indexed="81"/>
            <rFont val="Tahoma"/>
            <family val="2"/>
          </rPr>
          <t>No bath use assumed in this building type.</t>
        </r>
      </text>
    </comment>
    <comment ref="R19" authorId="0" shapeId="0" xr:uid="{00000000-0006-0000-0200-00009D000000}">
      <text>
        <r>
          <rPr>
            <sz val="8"/>
            <color indexed="81"/>
            <rFont val="Tahoma"/>
            <family val="2"/>
          </rPr>
          <t>As per offices, 1 component use per day for staff is used. Source: Communities and Local Government Research to Assess the Costs and Benefits of Improvements to the Water Efficiency of New Non-household Buildings (Entec Oct 2009).
This figure is adjusted to account for the student:teacher ratio in Further Education of 19.9 (source: http://www.ucu.org.uk/index.cfm?articleid=4624). as follows:
1/19.9 = 0.0505 i.e. 5.1%
1 uses/day * 0.051 = 0.051</t>
        </r>
      </text>
    </comment>
    <comment ref="X19" authorId="0" shapeId="0" xr:uid="{00000000-0006-0000-0200-00009E000000}">
      <text>
        <r>
          <rPr>
            <sz val="8"/>
            <color indexed="81"/>
            <rFont val="Tahoma"/>
            <family val="2"/>
          </rPr>
          <t xml:space="preserve">As per offices for adults i.e. teachers, staff and students.
</t>
        </r>
      </text>
    </comment>
    <comment ref="AC19" authorId="0" shapeId="0" xr:uid="{00000000-0006-0000-0200-00009F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19" authorId="0" shapeId="0" xr:uid="{00000000-0006-0000-0200-0000A0000000}">
      <text>
        <r>
          <rPr>
            <sz val="8"/>
            <color indexed="81"/>
            <rFont val="Tahoma"/>
            <family val="2"/>
          </rPr>
          <t>Source: as per office.</t>
        </r>
      </text>
    </comment>
    <comment ref="AQ19" authorId="0" shapeId="0" xr:uid="{00000000-0006-0000-0200-0000A1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19" authorId="0" shapeId="0" xr:uid="{00000000-0006-0000-0200-0000A2000000}">
      <text>
        <r>
          <rPr>
            <sz val="8"/>
            <color indexed="81"/>
            <rFont val="Tahoma"/>
            <family val="2"/>
          </rPr>
          <t>Two-thirds to account for the fact that taps will not to be run at full volume.</t>
        </r>
        <r>
          <rPr>
            <sz val="8"/>
            <color indexed="81"/>
            <rFont val="Tahoma"/>
            <family val="2"/>
          </rPr>
          <t xml:space="preserve">
</t>
        </r>
      </text>
    </comment>
    <comment ref="AT19" authorId="0" shapeId="0" xr:uid="{00000000-0006-0000-0200-0000A3000000}">
      <text>
        <r>
          <rPr>
            <b/>
            <sz val="8"/>
            <color indexed="81"/>
            <rFont val="Tahoma"/>
            <family val="2"/>
          </rPr>
          <t xml:space="preserve">Source: </t>
        </r>
        <r>
          <rPr>
            <sz val="8"/>
            <color indexed="81"/>
            <rFont val="Tahoma"/>
            <family val="2"/>
          </rPr>
          <t>CLG research to Assess Costs and Benefits of Improvement to the Water Efficiency of New Non-Household Buildings states the following for dishwasher use in restaurants.
Baseline: 8 l/rack
Basic: 6.83 l/rack
Intermediate: 5 l/rack
Advanced: 3 l/rack</t>
        </r>
        <r>
          <rPr>
            <b/>
            <sz val="8"/>
            <color indexed="81"/>
            <rFont val="Tahoma"/>
            <family val="2"/>
          </rPr>
          <t xml:space="preserve">
</t>
        </r>
        <r>
          <rPr>
            <sz val="8"/>
            <color indexed="81"/>
            <rFont val="Tahoma"/>
            <family val="2"/>
          </rPr>
          <t xml:space="preserve">
These figures have been used to determine benchmarks for BREEAM purposes.</t>
        </r>
      </text>
    </comment>
    <comment ref="D20" authorId="0" shapeId="0" xr:uid="{00000000-0006-0000-0200-0000A4000000}">
      <text>
        <r>
          <rPr>
            <b/>
            <sz val="8"/>
            <color indexed="81"/>
            <rFont val="Tahoma"/>
            <family val="2"/>
          </rPr>
          <t>Source: BNWAT22</t>
        </r>
      </text>
    </comment>
    <comment ref="E20" authorId="0" shapeId="0" xr:uid="{00000000-0006-0000-0200-0000A5000000}">
      <text>
        <r>
          <rPr>
            <sz val="8"/>
            <color indexed="81"/>
            <rFont val="Tahoma"/>
            <family val="2"/>
          </rPr>
          <t xml:space="preserve">Assumes occupancy during 07.00-17.00hrs. Based on NCM database hours of occupancy for teaching space.
</t>
        </r>
      </text>
    </comment>
    <comment ref="I20" authorId="0" shapeId="0" xr:uid="{00000000-0006-0000-0200-0000A6000000}">
      <text>
        <r>
          <rPr>
            <sz val="8"/>
            <color indexed="81"/>
            <rFont val="Tahoma"/>
            <family val="2"/>
          </rPr>
          <t>Assumes the same ratio of use as adults in office building.</t>
        </r>
      </text>
    </comment>
    <comment ref="J20" authorId="0" shapeId="0" xr:uid="{00000000-0006-0000-0200-0000A7000000}">
      <text>
        <r>
          <rPr>
            <sz val="8"/>
            <color indexed="81"/>
            <rFont val="Tahoma"/>
            <family val="2"/>
          </rPr>
          <t>Assumes the same ratio of use as adults in office building.</t>
        </r>
        <r>
          <rPr>
            <b/>
            <sz val="8"/>
            <color indexed="81"/>
            <rFont val="Tahoma"/>
            <family val="2"/>
          </rPr>
          <t xml:space="preserve">
</t>
        </r>
        <r>
          <rPr>
            <sz val="8"/>
            <color indexed="81"/>
            <rFont val="Tahoma"/>
            <family val="2"/>
          </rPr>
          <t xml:space="preserve">
</t>
        </r>
      </text>
    </comment>
    <comment ref="N20" authorId="0" shapeId="0" xr:uid="{00000000-0006-0000-0200-0000A8000000}">
      <text>
        <r>
          <rPr>
            <sz val="8"/>
            <color indexed="81"/>
            <rFont val="Tahoma"/>
            <family val="2"/>
          </rPr>
          <t xml:space="preserve">No specific figure for adult shower use in education buildings, therefore the figure is the same as that used for showers in offices (using the same assumptions).
</t>
        </r>
      </text>
    </comment>
    <comment ref="O20" authorId="0" shapeId="0" xr:uid="{00000000-0006-0000-0200-0000A9000000}">
      <text>
        <r>
          <rPr>
            <sz val="8"/>
            <color indexed="81"/>
            <rFont val="Tahoma"/>
            <family val="2"/>
          </rPr>
          <t>No bath use assumed in this building type.</t>
        </r>
      </text>
    </comment>
    <comment ref="P20" authorId="0" shapeId="0" xr:uid="{00000000-0006-0000-0200-0000AA000000}">
      <text>
        <r>
          <rPr>
            <sz val="8"/>
            <color indexed="81"/>
            <rFont val="Tahoma"/>
            <family val="2"/>
          </rPr>
          <t>No bath use assumed in this building type.</t>
        </r>
      </text>
    </comment>
    <comment ref="Q20" authorId="0" shapeId="0" xr:uid="{00000000-0006-0000-0200-0000AB000000}">
      <text>
        <r>
          <rPr>
            <sz val="8"/>
            <color indexed="81"/>
            <rFont val="Tahoma"/>
            <family val="2"/>
          </rPr>
          <t>No bath use assumed in this building type.</t>
        </r>
      </text>
    </comment>
    <comment ref="R20" authorId="0" shapeId="0" xr:uid="{00000000-0006-0000-0200-0000AC000000}">
      <text>
        <r>
          <rPr>
            <sz val="8"/>
            <color indexed="81"/>
            <rFont val="Tahoma"/>
            <family val="2"/>
          </rPr>
          <t>As per offices, 1 component use per day for staff is used. Source: Communities and Local Government Research to Assess the Costs and Benefits of Improvements to the Water Efficiency of New Non-household Buildings (Entec Oct 2009).
This figure is adjusted to account for the student:teacher ratio in Higher Education of 16.3 (source: http://www.ucu.org.uk/index.cfm?articleid=4624). as follows:
1/16.3 = 0.0613 i.e. 6.1%
1 uses/day * 0.061 = 0.061</t>
        </r>
      </text>
    </comment>
    <comment ref="X20" authorId="0" shapeId="0" xr:uid="{00000000-0006-0000-0200-0000AD000000}">
      <text>
        <r>
          <rPr>
            <sz val="8"/>
            <color indexed="81"/>
            <rFont val="Tahoma"/>
            <family val="2"/>
          </rPr>
          <t xml:space="preserve">As per offices for adults i.e. teachers, staff and students.
</t>
        </r>
      </text>
    </comment>
    <comment ref="AC20" authorId="0" shapeId="0" xr:uid="{00000000-0006-0000-0200-0000AE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20" authorId="0" shapeId="0" xr:uid="{00000000-0006-0000-0200-0000AF000000}">
      <text>
        <r>
          <rPr>
            <sz val="8"/>
            <color indexed="81"/>
            <rFont val="Tahoma"/>
            <family val="2"/>
          </rPr>
          <t>Source: as per office.</t>
        </r>
      </text>
    </comment>
    <comment ref="AQ20" authorId="0" shapeId="0" xr:uid="{00000000-0006-0000-0200-0000B0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20" authorId="0" shapeId="0" xr:uid="{00000000-0006-0000-0200-0000B1000000}">
      <text>
        <r>
          <rPr>
            <sz val="8"/>
            <color indexed="81"/>
            <rFont val="Tahoma"/>
            <family val="2"/>
          </rPr>
          <t>Two-thirds to account for the fact that taps will not to be run at full volume.</t>
        </r>
        <r>
          <rPr>
            <sz val="8"/>
            <color indexed="81"/>
            <rFont val="Tahoma"/>
            <family val="2"/>
          </rPr>
          <t xml:space="preserve">
</t>
        </r>
      </text>
    </comment>
    <comment ref="AT20" authorId="0" shapeId="0" xr:uid="{00000000-0006-0000-0200-0000B2000000}">
      <text>
        <r>
          <rPr>
            <b/>
            <sz val="8"/>
            <color indexed="81"/>
            <rFont val="Tahoma"/>
            <family val="2"/>
          </rPr>
          <t xml:space="preserve">Source: </t>
        </r>
        <r>
          <rPr>
            <sz val="8"/>
            <color indexed="81"/>
            <rFont val="Tahoma"/>
            <family val="2"/>
          </rPr>
          <t xml:space="preserve">CLG research to Assess Costs and Benefits of Improvement to the Water Efficiency of New Non-Household Buildings states the following for dishwasher use in restaurants.
Baseline: 13.84 litres/kg
Basic: 10 l/kg
Intermediate: 7.5 l/kg
Advanced: 4.5 l/kg
The Enhanced Captial Allowance Water Technology list criteia for water efficient commercial washing machines is as follows:
1) The machine must also not exceed a maximum water consumption of 12 l/kg wash load.
At the time of writing there are no products listed (Dec 2011).
For industrial machines ECA sets different requirements, depending on the type: max 8l/kg for continuos batch washers and 15 l/kg for washer extractors
BREEAM levels have been set in accordance with the above benchmark info. Using 14 litres/kg as a baseline, 12/lkg as level 1 and 4.5 as level 5.
</t>
        </r>
      </text>
    </comment>
    <comment ref="AV20" authorId="0" shapeId="0" xr:uid="{00000000-0006-0000-0200-0000B3000000}">
      <text>
        <r>
          <rPr>
            <sz val="8"/>
            <color indexed="81"/>
            <rFont val="Tahoma"/>
            <family val="2"/>
          </rPr>
          <t xml:space="preserve">The Enhanced Captial Allowance Water Technology Product list criteia for water efficient commercial washing machines.
</t>
        </r>
      </text>
    </comment>
    <comment ref="C21" authorId="0" shapeId="0" xr:uid="{00000000-0006-0000-0200-0000B4000000}">
      <text>
        <r>
          <rPr>
            <sz val="8"/>
            <color indexed="81"/>
            <rFont val="Tahoma"/>
            <family val="2"/>
          </rPr>
          <t>Primary schools: Occupant density based on max 30 pupils per 60m2 of classroom area (source: BB99 Building Framework for primary schools). Therefore, density per m2 is 1/(60/30) = 0.50.
According to the National Statistics, DfE: School Workforce in England, November 2010 (statistical first release) the pupil teacher ratio for local authority maintained primary schools is 20.9. Therefore, a default of 1.44 teachers per 60m2 of classroom area is used. This adds another 0.024 person/m2 to the occupant density and gives a final figure for primary schools of 0.524.
Secondary schools: the average classroom size is comparable to primary school (BB98 appendices) and is deemed appropriate to use for secondary schools for this exercise.The pupil teacher ratio for local authority maintained secondary schools is 15.6. Therefore, following the rationale above for primary schools, the occupant density figure for  is; 0.50 + 0.0321 = 0.532.
Sixth form, FE and HE colleges:  Occupant density based on max 16 students for seminar room size of 43m2 (source: BB99 Appendix 2, seminar rooms in sixth form). This is assumed comparable for FE/HE for this type of space). 
According to the University and College Union student:teacher ratio in Further Education in 2008/2009 was 19.9 and Higher education for the same year was 16.3 (source: http://www.ucu.org.uk/index.cfm?articleid=4624). Therefore a default of 0.80 teachers per 43m2 of seminar room and 0.019 teachers/m2 for FE. Likewise, the figure is 0.023 for HE.
Therefore the occupant density for seminar rooms in FE is 1/(43/16)= 0.372 + 0.019 = 0.391 people/m2. 
For HE, 1/(43/16)= 0.372 + 0.023 = 0.395 people/m2.</t>
        </r>
      </text>
    </comment>
    <comment ref="C22" authorId="0" shapeId="0" xr:uid="{00000000-0006-0000-0200-0000B5000000}">
      <text>
        <r>
          <rPr>
            <sz val="8"/>
            <color indexed="81"/>
            <rFont val="Tahoma"/>
            <family val="2"/>
          </rPr>
          <t>Source: NCM activity database (11/08/10)</t>
        </r>
      </text>
    </comment>
    <comment ref="U22" authorId="0" shapeId="0" xr:uid="{00000000-0006-0000-0200-0000B6000000}">
      <text>
        <r>
          <rPr>
            <sz val="8"/>
            <color indexed="81"/>
            <rFont val="Tahoma"/>
            <family val="2"/>
          </rPr>
          <t>One cycle accommodates 25 people i.e. 1/25=0.04 uses/person/day. 
Source: Communities and Local Government Research to Assess the Costs and Benefits of Improvements to the Water Efficiency of New Non-household Buildings (Entec Oct 2009).
As the dishwasher is in the staff areas only and therefore used only by the staff, the figure of 0.04 is adjusted by the pupil-teacher ratio for schools/FE and HE as follows:
Primary school: 1/20.9 = 0.048
0.04 * 0.048= 0.0019
Secondary school: 1/15.6 = 0.064
0.04 * 0.064 = 0.0026
Sixth form/FE: 1/19.9 = 0.0505
0.04 * 0.0505 = 0.0020
Higher Education: 1/16.3 = 0.0613
0.04 * 0.0613 = 0.0025
Source of pupil-teacher ratio: National Statistics, DfE: School Workforce in England, November 2010 (statistical first release) and University and Colleges Union for FE/HE http://www.ucu.org.uk/index.cfm?articleid=4624).</t>
        </r>
      </text>
    </comment>
    <comment ref="AH22" authorId="0" shapeId="0" xr:uid="{00000000-0006-0000-0200-0000B7000000}">
      <text>
        <r>
          <rPr>
            <sz val="8"/>
            <color indexed="81"/>
            <rFont val="Tahoma"/>
            <family val="2"/>
          </rPr>
          <t>Communities and Local Government Research to Assess the Costs and Benefits of Improvements to the Water Efficiency of New Non-household Buildings (BD2683) states a factor of 0.67 for offices in its example calculation.</t>
        </r>
      </text>
    </comment>
    <comment ref="C23" authorId="0" shapeId="0" xr:uid="{00000000-0006-0000-0200-0000B8000000}">
      <text>
        <r>
          <rPr>
            <sz val="8"/>
            <color indexed="81"/>
            <rFont val="Tahoma"/>
            <family val="2"/>
          </rPr>
          <t>Source: NCM activity database, figure for residents common room used.</t>
        </r>
      </text>
    </comment>
    <comment ref="C24" authorId="0" shapeId="0" xr:uid="{00000000-0006-0000-0200-0000B9000000}">
      <text>
        <r>
          <rPr>
            <sz val="8"/>
            <color indexed="81"/>
            <rFont val="Tahoma"/>
            <family val="2"/>
          </rPr>
          <t>An average restaurant has been modelled as having 25 employees serving 250 covers per day (Pacific Institute, 2003). Therefore, the number of kitchen staff is set at a default of 0.1 per cover for any building type with a restaurant. However, whilst there is no specific data for school canteens, this figure is consider too high for a school, whose kitchen staff per cover is not considered comparable to a restaurant. Therefore, in-lieu of specific data, for the purpose of this methodology it has been assumed that the rate will be one quarter that of a restaurant i.e. 6.25 employees per 250 covers or 0.025 staff per cover.
The number of covers is then determined as follows:
Schools: using a ratio of 0.90m2 per cover and three sittings per day for schools with 300 pupils or more and 2 sittings for schools with less than 300 pupils, the number of covers is estimated. (source of data: BB98 Briefing framework for secondary schools projects, pg. 43 and appendix 1). The number of covers are then multiplied by the figure 0.025 (from above) to give the default number of kitchen staff. This calculation is carried out within the education calculator (hence why no figure in this activity database for this function when primary school building type is selected).
FE/HE colleges: An overall occupant density for seated dining areas of 0.20 persons/m2 is used (source: National Energy Calculation Methodology activity database) to determine the number of people seated in the restaurant. A period of 11am-3pm is used as a default hours of use by the building's staff, whereby occupant density fluctuates respectively during those hours as follows: 0.25, 1.0, 1.0, 0.75 (source NCM activity database); resulting in an average occupant density of  0.15 covers/hr/m2.
This average multiplied by the 4 hour period gives a figure of 0.60 covers/m2. If there are 12.5 kitchen employees per 250 covers, then there are 0.05 employees/cover; therefore there are 0.03 kitchen employees/m2 of seated dining area.</t>
        </r>
      </text>
    </comment>
    <comment ref="V24" authorId="0" shapeId="0" xr:uid="{00000000-0006-0000-0200-0000BA000000}">
      <text>
        <r>
          <rPr>
            <sz val="8"/>
            <color indexed="81"/>
            <rFont val="Tahoma"/>
            <family val="2"/>
          </rPr>
          <t>It could be argued that there is likley to be a washing machine where there is a food preparation area, however, no data available for this component in this activity area. It is possible that it could be accounted for under the miscellaneous under food preparation (which is a fixed use).</t>
        </r>
      </text>
    </comment>
    <comment ref="Y24" authorId="0" shapeId="0" xr:uid="{00000000-0006-0000-0200-0000BB000000}">
      <text>
        <r>
          <rPr>
            <sz val="8"/>
            <color indexed="81"/>
            <rFont val="Tahoma"/>
            <family val="2"/>
          </rPr>
          <t>Units: litres/day
Fixed use for food preparation is based on a ‘standard’ restaurant. This ‘standard’ model gives details relating to a hotel with 25 staff serving 250 covers or meals per day, (source: BD2683 and sources contained therein), as follows:
0.33 kg of ice per meal
Food preparation sink: 113.4 litres (per day) / 250 covers = 0.4536 litres/cover
Food: 1.89 litres/cover
Total: 2.674 litres/cover
Schools: using a ratio of 0.90m2 per cover and three sittings per day for schools with over 300 pupils and 2 sittings for schools with less than 300 pupils, the number of covers is estimated and therefore the fixed use/meal using the above figures.
FE/HE colleges: The above litres/cover figure is multiplied by 0.60 covers/m2 (see comment against occupant density for this building area for source of number) and the dining area to obtain fixed use for this building type.
Where no such activity area is present, a figure will not register in this cell, hence the comment "see note" as oppose to a figure of zero occuring.
If there is no dining area, no figure is calculated.</t>
        </r>
      </text>
    </comment>
    <comment ref="Z24" authorId="0" shapeId="0" xr:uid="{00000000-0006-0000-0200-0000BC000000}">
      <text>
        <r>
          <rPr>
            <sz val="8"/>
            <color indexed="81"/>
            <rFont val="Arial"/>
            <family val="2"/>
          </rPr>
          <t>Units: litres/day
Fixed use for cleaning in a food preparation area is based on a ‘standard’ restaurant. This ‘standard’ model gives details relating to a hotel with 25 staff serving 250 covers or meals per day (Source: BD2683), as follows:
Pot and pan sink: 900 litres (3 x sinks filled with 150 litre capacity filled twice a day) / 250 covers = 3.6 litres/cover
Cleaning: 298.4 / 250 covers = 1.1936 litres/cover
Miscellaneous use: 378/250 = 1.52 litres/cover
Total: 6.314 litres/cover
Schools: using a ratio of 0.90m2 per cover and three sittings per day for schools with 300 pupils or more and 2 sittings for schools with less than 300 pupils, the number of covers is estimated. (source of data: BB98 Briefing framework for secondary schools projects, pg. 43 and appendix 1). The 
FE/HE colleges: The above figure is multiplied by 0.60 covers/m2 (see comment against occupant density for this building area for source of number).
This litres/cover figure is then multiplied by the calculated figure covers/m2 and the total area (m2) of the dining area to give the fixed use total here.
If there is no dining area, no figure is calculated.</t>
        </r>
      </text>
    </comment>
    <comment ref="AI24" authorId="0" shapeId="0" xr:uid="{00000000-0006-0000-0200-0000BD000000}">
      <text>
        <r>
          <rPr>
            <b/>
            <sz val="8"/>
            <color indexed="81"/>
            <rFont val="Tahoma"/>
            <family val="2"/>
          </rPr>
          <t xml:space="preserve">Source: </t>
        </r>
        <r>
          <rPr>
            <sz val="8"/>
            <color indexed="81"/>
            <rFont val="Tahoma"/>
            <family val="2"/>
          </rPr>
          <t>washing up pre-rinse nozzles are used for 60 min per day (Pacific Institute, 2003; MWRA,1990)</t>
        </r>
        <r>
          <rPr>
            <sz val="8"/>
            <color indexed="81"/>
            <rFont val="Tahoma"/>
            <family val="2"/>
          </rPr>
          <t xml:space="preserve">
</t>
        </r>
      </text>
    </comment>
    <comment ref="AK24" authorId="0" shapeId="0" xr:uid="{00000000-0006-0000-0200-0000BE000000}">
      <text>
        <r>
          <rPr>
            <sz val="8"/>
            <color indexed="81"/>
            <rFont val="Tahoma"/>
            <family val="2"/>
          </rPr>
          <t xml:space="preserve">units: dishwasher cycles/m2
Communities and Local Government Research to Assess the Costs and Benefits of Improvements to the Water Efficiency of New Non-household Buildings (Entec Oct 2009) states each customer produces half a dishwasher rack of washing up per visit. This is for standard restaurant use. For a school canteen, this has been halved again to one quarter rack per cover on the basis that only one (possibly two) courses served at lunchtime, and generally less crockery used than for standard restaurant (where two or three courses are to be assumed).
Schools: using a ratio of 0.90m2 per cover and three sittings per day for schools with 300 pupils or more (therefore 2.7 covers/m2 of dining area) and 2 sittings for schools with less than 300 pupils (therefore 1.80 covers/m2 of dining area),  (source of data: BB98 Briefing framework for secondary schools projects, pg. 43 and appendix 1), therefore:
2.7 covers/m2 * 0.25 racks/cover = 0.675 cycles/m2 (300+ pupils and three sittings)
1.80 covers/m2 * 0.25 racks/cover = 0.45 cycles/m2 (less than 300 pupils and two sittings)
FE/HE colleges: No specific data. The same approach/default as that adopted for office building's has been applied to FE/HE colleges as the users/use of canteen/restaurant are deemed equivalent to that of offices in-lieu of FE/HE specific data. i.e. 0.2480 cycles/m2
</t>
        </r>
      </text>
    </comment>
    <comment ref="AM24" authorId="0" shapeId="0" xr:uid="{00000000-0006-0000-0200-0000BF000000}">
      <text>
        <r>
          <rPr>
            <b/>
            <sz val="8"/>
            <color indexed="81"/>
            <rFont val="Tahoma"/>
            <family val="2"/>
          </rPr>
          <t>Source:</t>
        </r>
        <r>
          <rPr>
            <sz val="8"/>
            <color indexed="81"/>
            <rFont val="Tahoma"/>
            <family val="2"/>
          </rPr>
          <t xml:space="preserve"> waste disposal devices run for 30 min per day (Pacific Institute, 2003; MWRA,1990)</t>
        </r>
        <r>
          <rPr>
            <sz val="8"/>
            <color indexed="81"/>
            <rFont val="Tahoma"/>
            <family val="2"/>
          </rPr>
          <t xml:space="preserve">
</t>
        </r>
      </text>
    </comment>
    <comment ref="C25" authorId="0" shapeId="0" xr:uid="{00000000-0006-0000-0200-0000C0000000}">
      <text>
        <r>
          <rPr>
            <sz val="8"/>
            <color indexed="81"/>
            <rFont val="Tahoma"/>
            <family val="2"/>
          </rPr>
          <t>For the purpose of this methodology zero has been used as the users of this facility will be the staff/pupils/students, whose number is determined based on the density of other activity areas, so to acount for occupancy against this activity area would double count the number of building users.</t>
        </r>
      </text>
    </comment>
    <comment ref="X25" authorId="0" shapeId="0" xr:uid="{00000000-0006-0000-0200-0000C1000000}">
      <text>
        <r>
          <rPr>
            <sz val="8"/>
            <color indexed="81"/>
            <rFont val="Tahoma"/>
            <family val="2"/>
          </rPr>
          <t>CLG Research to Assess the Costs and Benefits of Improvements to the Water Efficiency of New Non-household Buildings states in its approach to drafting standard for leisure centres that each visitor uses 0.3 litre of water from a fountain or tap, for drinking (based on an average 1 hour visit).
Where present in schools 2 visits per week is assumed (see shower use for schools), therefore the fix use per week is 0.6 litres/pupil, 0.6/5 days = 0.12 litres/person/day.
Where present in sixth form, FE/HE colleges the same usage is used as that for offices with this building function i.e. 0.05.</t>
        </r>
      </text>
    </comment>
    <comment ref="C26" authorId="0" shapeId="0" xr:uid="{00000000-0006-0000-0200-0000C2000000}">
      <text>
        <r>
          <rPr>
            <sz val="8"/>
            <color indexed="81"/>
            <rFont val="Tahoma"/>
            <family val="2"/>
          </rPr>
          <t>Source: NCM activity database (11/08/10)</t>
        </r>
      </text>
    </comment>
    <comment ref="C27" authorId="0" shapeId="0" xr:uid="{00000000-0006-0000-0200-0000C3000000}">
      <text>
        <r>
          <rPr>
            <sz val="8"/>
            <color indexed="81"/>
            <rFont val="Tahoma"/>
            <family val="2"/>
          </rPr>
          <t>BB98 Briefing framework for secondary schools (appendix 2) states 80m2 for 50 students for sixth form write-up areas. This figure has been used for sixth form, and FE/HE colleges for an occupant density of 0.625 persons/m2 for this type of space.
No equivalent space in NCM database.</t>
        </r>
      </text>
    </comment>
    <comment ref="C28" authorId="0" shapeId="0" xr:uid="{00000000-0006-0000-0200-0000C4000000}">
      <text>
        <r>
          <rPr>
            <sz val="8"/>
            <color indexed="81"/>
            <rFont val="Tahoma"/>
            <family val="2"/>
          </rPr>
          <t>Source: NCM activity database (11/08/10)</t>
        </r>
      </text>
    </comment>
    <comment ref="C29" authorId="0" shapeId="0" xr:uid="{00000000-0006-0000-0200-0000C5000000}">
      <text>
        <r>
          <rPr>
            <sz val="8"/>
            <color indexed="81"/>
            <rFont val="Tahoma"/>
            <family val="2"/>
          </rPr>
          <t>Source: NCM activity database (11/08/10) for university and colleges.</t>
        </r>
      </text>
    </comment>
    <comment ref="C30" authorId="0" shapeId="0" xr:uid="{00000000-0006-0000-0200-0000C6000000}">
      <text>
        <r>
          <rPr>
            <sz val="8"/>
            <color indexed="81"/>
            <rFont val="Tahoma"/>
            <family val="2"/>
          </rPr>
          <t>Source: NCM activity database (11/08/10) for university and colleges.</t>
        </r>
      </text>
    </comment>
    <comment ref="D31" authorId="0" shapeId="0" xr:uid="{00000000-0006-0000-0200-0000C7000000}">
      <text>
        <r>
          <rPr>
            <sz val="8"/>
            <color indexed="81"/>
            <rFont val="Tahoma"/>
            <family val="2"/>
          </rPr>
          <t>Determined on the basis of 7 days a week opening 52 weeks a year, minus 4 days for Christmas, boxing and easter holidays. Sunday opening is assumed.</t>
        </r>
      </text>
    </comment>
    <comment ref="E31" authorId="0" shapeId="0" xr:uid="{00000000-0006-0000-0200-0000C8000000}">
      <text>
        <r>
          <rPr>
            <sz val="8"/>
            <color indexed="81"/>
            <rFont val="Tahoma"/>
            <family val="2"/>
          </rPr>
          <t>Based on average for a seven day week: Mon-Sat 9am-6pm
Sunday: 10.00am - 16.30pm. Average hrs 8.64 (rounded to 8.5).</t>
        </r>
      </text>
    </comment>
    <comment ref="G31" authorId="0" shapeId="0" xr:uid="{00000000-0006-0000-0200-0000C9000000}">
      <text>
        <r>
          <rPr>
            <sz val="8"/>
            <color indexed="81"/>
            <rFont val="Tahoma"/>
            <family val="2"/>
          </rPr>
          <t>This overall ratio is determined using the two separate ratios for staff and customers (below) and the ratio between staff/customers (calculated in the retail calculator).</t>
        </r>
      </text>
    </comment>
    <comment ref="H31" authorId="0" shapeId="0" xr:uid="{00000000-0006-0000-0200-0000CA000000}">
      <text>
        <r>
          <rPr>
            <sz val="8"/>
            <color indexed="81"/>
            <rFont val="Tahoma"/>
            <family val="2"/>
          </rPr>
          <t>This overall ratio is determined using the two separate ratios for staff and customers (below) and the ratio between staff/customers (calculated in the retail calculator).</t>
        </r>
      </text>
    </comment>
    <comment ref="I31" authorId="0" shapeId="0" xr:uid="{00000000-0006-0000-0200-0000CB000000}">
      <text>
        <r>
          <rPr>
            <sz val="8"/>
            <color indexed="81"/>
            <rFont val="Tahoma"/>
            <family val="2"/>
          </rPr>
          <t>This overall usage factor is determined using the two separate factors for staff and customers (below) and the ratio between staff/customers (calculated in the retail calculator).</t>
        </r>
      </text>
    </comment>
    <comment ref="J31" authorId="0" shapeId="0" xr:uid="{00000000-0006-0000-0200-0000CC000000}">
      <text>
        <r>
          <rPr>
            <sz val="8"/>
            <color indexed="81"/>
            <rFont val="Tahoma"/>
            <family val="2"/>
          </rPr>
          <t>This overall usage factor is determined using the two separate factors for staff and customers (below) and the ratio between staff/customers (calculated in the retail calculator).</t>
        </r>
      </text>
    </comment>
    <comment ref="K31" authorId="0" shapeId="0" xr:uid="{00000000-0006-0000-0200-0000CD000000}">
      <text>
        <r>
          <rPr>
            <sz val="8"/>
            <color indexed="81"/>
            <rFont val="Tahoma"/>
            <family val="2"/>
          </rPr>
          <t>This overall usage factor is determined using the two separate factors for staff and customers (below) and the ratio between staff/customers (calculated in the retail calculator).</t>
        </r>
      </text>
    </comment>
    <comment ref="L31" authorId="0" shapeId="0" xr:uid="{00000000-0006-0000-0200-0000CE000000}">
      <text>
        <r>
          <rPr>
            <sz val="8"/>
            <color indexed="81"/>
            <rFont val="Tahoma"/>
            <family val="2"/>
          </rPr>
          <t>This overall usage factor is determined using the two separate factors for staff and customers (below) and the ratio between staff/customers (calculated in the retail calculator).</t>
        </r>
      </text>
    </comment>
    <comment ref="M31" authorId="0" shapeId="0" xr:uid="{00000000-0006-0000-0200-0000CF000000}">
      <text>
        <r>
          <rPr>
            <sz val="8"/>
            <color indexed="81"/>
            <rFont val="Tahoma"/>
            <family val="2"/>
          </rPr>
          <t>This overall usage factor is determined using the two separate factors for staff and customers (below) and the ratio between staff/customers (calculated in the retail calculator).</t>
        </r>
      </text>
    </comment>
    <comment ref="O31" authorId="0" shapeId="0" xr:uid="{00000000-0006-0000-0200-0000D0000000}">
      <text>
        <r>
          <rPr>
            <sz val="8"/>
            <color indexed="81"/>
            <rFont val="Tahoma"/>
            <family val="2"/>
          </rPr>
          <t>No bath use assumed in this building type.</t>
        </r>
      </text>
    </comment>
    <comment ref="P31" authorId="0" shapeId="0" xr:uid="{00000000-0006-0000-0200-0000D1000000}">
      <text>
        <r>
          <rPr>
            <sz val="8"/>
            <color indexed="81"/>
            <rFont val="Tahoma"/>
            <family val="2"/>
          </rPr>
          <t>No bath use assumed in this building type.</t>
        </r>
      </text>
    </comment>
    <comment ref="Q31" authorId="0" shapeId="0" xr:uid="{00000000-0006-0000-0200-0000D2000000}">
      <text>
        <r>
          <rPr>
            <sz val="8"/>
            <color indexed="81"/>
            <rFont val="Tahoma"/>
            <family val="2"/>
          </rPr>
          <t>No bath use assumed in this building type.</t>
        </r>
      </text>
    </comment>
    <comment ref="AC31" authorId="0" shapeId="0" xr:uid="{00000000-0006-0000-0200-0000D3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31" authorId="0" shapeId="0" xr:uid="{00000000-0006-0000-0200-0000D4000000}">
      <text>
        <r>
          <rPr>
            <sz val="8"/>
            <color indexed="81"/>
            <rFont val="Tahoma"/>
            <family val="2"/>
          </rPr>
          <t>Source: CLG domestic water efficiency calc, also used in BS8525 COP for greywater systems.</t>
        </r>
      </text>
    </comment>
    <comment ref="AE31" authorId="0" shapeId="0" xr:uid="{00000000-0006-0000-0200-0000D5000000}">
      <text>
        <r>
          <rPr>
            <sz val="8"/>
            <color indexed="81"/>
            <rFont val="Tahoma"/>
            <family val="2"/>
          </rPr>
          <t>Source: CLG domestic water efficiency calc, also used in BS8525 COP for greywater systems</t>
        </r>
      </text>
    </comment>
    <comment ref="AQ31" authorId="0" shapeId="0" xr:uid="{00000000-0006-0000-0200-0000D6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31" authorId="0" shapeId="0" xr:uid="{00000000-0006-0000-0200-0000D7000000}">
      <text>
        <r>
          <rPr>
            <sz val="8"/>
            <color indexed="81"/>
            <rFont val="Tahoma"/>
            <family val="2"/>
          </rPr>
          <t>Two-thirds to account for the fact that taps will not to be run at full volume.</t>
        </r>
        <r>
          <rPr>
            <sz val="8"/>
            <color indexed="81"/>
            <rFont val="Tahoma"/>
            <family val="2"/>
          </rPr>
          <t xml:space="preserve">
</t>
        </r>
      </text>
    </comment>
    <comment ref="G32" authorId="0" shapeId="0" xr:uid="{00000000-0006-0000-0200-0000D8000000}">
      <text>
        <r>
          <rPr>
            <sz val="8"/>
            <color indexed="81"/>
            <rFont val="Tahoma"/>
            <family val="2"/>
          </rPr>
          <t>Standard ratio for employees.</t>
        </r>
      </text>
    </comment>
    <comment ref="H32" authorId="0" shapeId="0" xr:uid="{00000000-0006-0000-0200-0000D9000000}">
      <text>
        <r>
          <rPr>
            <sz val="8"/>
            <color indexed="81"/>
            <rFont val="Tahoma"/>
            <family val="2"/>
          </rPr>
          <t>Standard ratio for employees.</t>
        </r>
      </text>
    </comment>
    <comment ref="I32" authorId="0" shapeId="0" xr:uid="{00000000-0006-0000-0200-0000DA000000}">
      <text>
        <r>
          <rPr>
            <sz val="8"/>
            <color indexed="81"/>
            <rFont val="Tahoma"/>
            <family val="2"/>
          </rPr>
          <t xml:space="preserve">Source: BNWAT22
</t>
        </r>
      </text>
    </comment>
    <comment ref="J32" authorId="0" shapeId="0" xr:uid="{00000000-0006-0000-0200-0000DB000000}">
      <text>
        <r>
          <rPr>
            <sz val="8"/>
            <color indexed="81"/>
            <rFont val="Tahoma"/>
            <family val="2"/>
          </rPr>
          <t xml:space="preserve">Source: BNWAT22
</t>
        </r>
      </text>
    </comment>
    <comment ref="K32" authorId="0" shapeId="0" xr:uid="{00000000-0006-0000-0200-0000DC000000}">
      <text>
        <r>
          <rPr>
            <sz val="8"/>
            <color indexed="81"/>
            <rFont val="Tahoma"/>
            <family val="2"/>
          </rPr>
          <t xml:space="preserve">Source: BNWAT22
</t>
        </r>
      </text>
    </comment>
    <comment ref="L32" authorId="0" shapeId="0" xr:uid="{00000000-0006-0000-0200-0000DD000000}">
      <text>
        <r>
          <rPr>
            <sz val="8"/>
            <color indexed="81"/>
            <rFont val="Tahoma"/>
            <family val="2"/>
          </rPr>
          <t xml:space="preserve">Source: BNWAT22
</t>
        </r>
      </text>
    </comment>
    <comment ref="M32" authorId="0" shapeId="0" xr:uid="{00000000-0006-0000-0200-0000DE000000}">
      <text>
        <r>
          <rPr>
            <sz val="8"/>
            <color indexed="81"/>
            <rFont val="Tahoma"/>
            <family val="2"/>
          </rPr>
          <t>Assumes WHB tap usage for each WC visit.</t>
        </r>
      </text>
    </comment>
    <comment ref="N32" authorId="0" shapeId="0" xr:uid="{00000000-0006-0000-0200-0000DF000000}">
      <text>
        <r>
          <rPr>
            <sz val="8"/>
            <color indexed="81"/>
            <rFont val="Tahoma"/>
            <family val="2"/>
          </rPr>
          <t>As per shower use assumptions/data used for offices.</t>
        </r>
      </text>
    </comment>
    <comment ref="O32" authorId="0" shapeId="0" xr:uid="{00000000-0006-0000-0200-0000E0000000}">
      <text>
        <r>
          <rPr>
            <sz val="8"/>
            <color indexed="81"/>
            <rFont val="Tahoma"/>
            <family val="2"/>
          </rPr>
          <t>No bath use assumed in this building type.</t>
        </r>
      </text>
    </comment>
    <comment ref="P32" authorId="0" shapeId="0" xr:uid="{00000000-0006-0000-0200-0000E1000000}">
      <text>
        <r>
          <rPr>
            <sz val="8"/>
            <color indexed="81"/>
            <rFont val="Tahoma"/>
            <family val="2"/>
          </rPr>
          <t>No bath use assumed in this building type.</t>
        </r>
      </text>
    </comment>
    <comment ref="Q32" authorId="0" shapeId="0" xr:uid="{00000000-0006-0000-0200-0000E2000000}">
      <text>
        <r>
          <rPr>
            <sz val="8"/>
            <color indexed="81"/>
            <rFont val="Tahoma"/>
            <family val="2"/>
          </rPr>
          <t>No bath use assumed in this building type.</t>
        </r>
      </text>
    </comment>
    <comment ref="G33" authorId="0" shapeId="0" xr:uid="{00000000-0006-0000-0200-0000E3000000}">
      <text>
        <r>
          <rPr>
            <sz val="8"/>
            <color indexed="81"/>
            <rFont val="Tahoma"/>
            <family val="2"/>
          </rPr>
          <t>Source: BS 6465.</t>
        </r>
      </text>
    </comment>
    <comment ref="H33" authorId="0" shapeId="0" xr:uid="{00000000-0006-0000-0200-0000E4000000}">
      <text>
        <r>
          <rPr>
            <sz val="8"/>
            <color indexed="81"/>
            <rFont val="Tahoma"/>
            <family val="2"/>
          </rPr>
          <t>Source: BS 6465.</t>
        </r>
      </text>
    </comment>
    <comment ref="I33" authorId="0" shapeId="0" xr:uid="{00000000-0006-0000-0200-0000E500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(urinals) = ((1*0.8)/6)*1 = 0.1333
</t>
        </r>
      </text>
    </comment>
    <comment ref="J33" authorId="0" shapeId="0" xr:uid="{00000000-0006-0000-0200-0000E600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(no urinals) = 1*0.8=0.8
</t>
        </r>
      </text>
    </comment>
    <comment ref="K33" authorId="0" shapeId="0" xr:uid="{00000000-0006-0000-0200-0000E700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female = 1*0.8 0.8
</t>
        </r>
      </text>
    </comment>
    <comment ref="L33" authorId="0" shapeId="0" xr:uid="{00000000-0006-0000-0200-0000E800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Urinals = ((1*0.8)/6)*5 = 0.667
</t>
        </r>
      </text>
    </comment>
    <comment ref="M33" authorId="0" shapeId="0" xr:uid="{00000000-0006-0000-0200-0000E9000000}">
      <text>
        <r>
          <rPr>
            <sz val="8"/>
            <color indexed="81"/>
            <rFont val="Tahoma"/>
            <family val="2"/>
          </rPr>
          <t>Assumes WHB tap usage for each WC visit.</t>
        </r>
      </text>
    </comment>
    <comment ref="N33" authorId="0" shapeId="0" xr:uid="{00000000-0006-0000-0200-0000EA000000}">
      <text>
        <r>
          <rPr>
            <sz val="8"/>
            <color indexed="81"/>
            <rFont val="Tahoma"/>
            <family val="2"/>
          </rPr>
          <t>No customer shower use assumed.</t>
        </r>
      </text>
    </comment>
    <comment ref="O33" authorId="0" shapeId="0" xr:uid="{00000000-0006-0000-0200-0000EB000000}">
      <text>
        <r>
          <rPr>
            <sz val="8"/>
            <color indexed="81"/>
            <rFont val="Tahoma"/>
            <family val="2"/>
          </rPr>
          <t>No bath use assumed in this building type.</t>
        </r>
      </text>
    </comment>
    <comment ref="P33" authorId="0" shapeId="0" xr:uid="{00000000-0006-0000-0200-0000EC000000}">
      <text>
        <r>
          <rPr>
            <sz val="8"/>
            <color indexed="81"/>
            <rFont val="Tahoma"/>
            <family val="2"/>
          </rPr>
          <t>No bath use assumed in this building type.</t>
        </r>
      </text>
    </comment>
    <comment ref="Q33" authorId="0" shapeId="0" xr:uid="{00000000-0006-0000-0200-0000ED000000}">
      <text>
        <r>
          <rPr>
            <sz val="8"/>
            <color indexed="81"/>
            <rFont val="Tahoma"/>
            <family val="2"/>
          </rPr>
          <t>No bath use assumed in this building type.</t>
        </r>
      </text>
    </comment>
    <comment ref="X33" authorId="0" shapeId="0" xr:uid="{00000000-0006-0000-0200-0000EE000000}">
      <text>
        <r>
          <rPr>
            <sz val="8"/>
            <color indexed="81"/>
            <rFont val="Tahoma"/>
            <family val="2"/>
          </rPr>
          <t>No fixed use vessel filling from customers assumed.</t>
        </r>
      </text>
    </comment>
    <comment ref="D34" authorId="0" shapeId="0" xr:uid="{00000000-0006-0000-0200-0000EF000000}">
      <text>
        <r>
          <rPr>
            <sz val="8"/>
            <color indexed="81"/>
            <rFont val="Tahoma"/>
            <family val="2"/>
          </rPr>
          <t>Determined on the basis of 7 days a week opening 52 weeks a year, minus 4 days for Christmas, boxing and easter holidays. Sunday opening is assumed.</t>
        </r>
      </text>
    </comment>
    <comment ref="E34" authorId="0" shapeId="0" xr:uid="{00000000-0006-0000-0200-0000F0000000}">
      <text>
        <r>
          <rPr>
            <sz val="8"/>
            <color indexed="81"/>
            <rFont val="Tahoma"/>
            <family val="2"/>
          </rPr>
          <t>Opening hours Mon-Sat 8am - 10pm (14hrs a day). Sunday 10am-4.30pm (6.5hrs) = average daily hours of 12.93 (rounded to 13hrs).</t>
        </r>
      </text>
    </comment>
    <comment ref="G34" authorId="0" shapeId="0" xr:uid="{00000000-0006-0000-0200-0000F1000000}">
      <text>
        <r>
          <rPr>
            <sz val="8"/>
            <color indexed="81"/>
            <rFont val="Tahoma"/>
            <family val="2"/>
          </rPr>
          <t>This overall ratio is determined using the two separate ratios for staff and customers (below) and the ratio between staff/customers (calculated in the retail calculator).</t>
        </r>
      </text>
    </comment>
    <comment ref="H34" authorId="0" shapeId="0" xr:uid="{00000000-0006-0000-0200-0000F2000000}">
      <text>
        <r>
          <rPr>
            <sz val="8"/>
            <color indexed="81"/>
            <rFont val="Tahoma"/>
            <family val="2"/>
          </rPr>
          <t>This overall ratio is determined using the two separate ratios for staff and customers (below) and the ratio between staff/customers (calculated in the retail calculator).</t>
        </r>
      </text>
    </comment>
    <comment ref="I34" authorId="0" shapeId="0" xr:uid="{00000000-0006-0000-0200-0000F3000000}">
      <text>
        <r>
          <rPr>
            <sz val="8"/>
            <color indexed="81"/>
            <rFont val="Tahoma"/>
            <family val="2"/>
          </rPr>
          <t>This overall usage factor is determined using the two separate factors for staff and customers (below) and the ratio between staff/customers (calculated in the retail calculator).</t>
        </r>
      </text>
    </comment>
    <comment ref="J34" authorId="0" shapeId="0" xr:uid="{00000000-0006-0000-0200-0000F4000000}">
      <text>
        <r>
          <rPr>
            <sz val="8"/>
            <color indexed="81"/>
            <rFont val="Tahoma"/>
            <family val="2"/>
          </rPr>
          <t>This overall usage factor is determined using the two separate factors for staff and customers (below) and the ratio between staff/customers (calculated in the retail calculator).</t>
        </r>
      </text>
    </comment>
    <comment ref="K34" authorId="0" shapeId="0" xr:uid="{00000000-0006-0000-0200-0000F5000000}">
      <text>
        <r>
          <rPr>
            <sz val="8"/>
            <color indexed="81"/>
            <rFont val="Tahoma"/>
            <family val="2"/>
          </rPr>
          <t>This overall usage factor is determined using the two separate factors for staff and customers (below) and the ratio between staff/customers (calculated in the retail calculator).</t>
        </r>
      </text>
    </comment>
    <comment ref="L34" authorId="0" shapeId="0" xr:uid="{00000000-0006-0000-0200-0000F6000000}">
      <text>
        <r>
          <rPr>
            <sz val="8"/>
            <color indexed="81"/>
            <rFont val="Tahoma"/>
            <family val="2"/>
          </rPr>
          <t>This overall usage factor is determined using the two separate factors for staff and customers (below) and the ratio between staff/customers (calculated in the retail calculator).</t>
        </r>
      </text>
    </comment>
    <comment ref="M34" authorId="0" shapeId="0" xr:uid="{00000000-0006-0000-0200-0000F7000000}">
      <text>
        <r>
          <rPr>
            <sz val="8"/>
            <color indexed="81"/>
            <rFont val="Tahoma"/>
            <family val="2"/>
          </rPr>
          <t>This overall usage factor is determined using the two separate factors for staff and customers (below) and the ratio between staff/customers (calculated in the retail calculator).</t>
        </r>
      </text>
    </comment>
    <comment ref="O34" authorId="0" shapeId="0" xr:uid="{00000000-0006-0000-0200-0000F8000000}">
      <text>
        <r>
          <rPr>
            <sz val="8"/>
            <color indexed="81"/>
            <rFont val="Tahoma"/>
            <family val="2"/>
          </rPr>
          <t>No bath use assumed in this building type.</t>
        </r>
      </text>
    </comment>
    <comment ref="P34" authorId="0" shapeId="0" xr:uid="{00000000-0006-0000-0200-0000F9000000}">
      <text>
        <r>
          <rPr>
            <sz val="8"/>
            <color indexed="81"/>
            <rFont val="Tahoma"/>
            <family val="2"/>
          </rPr>
          <t>No bath use assumed in this building type.</t>
        </r>
      </text>
    </comment>
    <comment ref="Q34" authorId="0" shapeId="0" xr:uid="{00000000-0006-0000-0200-0000FA000000}">
      <text>
        <r>
          <rPr>
            <sz val="8"/>
            <color indexed="81"/>
            <rFont val="Tahoma"/>
            <family val="2"/>
          </rPr>
          <t>No bath use assumed in this building type.</t>
        </r>
      </text>
    </comment>
    <comment ref="AC34" authorId="0" shapeId="0" xr:uid="{00000000-0006-0000-0200-0000FB00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34" authorId="0" shapeId="0" xr:uid="{00000000-0006-0000-0200-0000FC000000}">
      <text>
        <r>
          <rPr>
            <sz val="8"/>
            <color indexed="81"/>
            <rFont val="Tahoma"/>
            <family val="2"/>
          </rPr>
          <t>Source: CLG domestic water efficiency calc, also used in BS8525 COP for greywater systems.</t>
        </r>
      </text>
    </comment>
    <comment ref="AE34" authorId="0" shapeId="0" xr:uid="{00000000-0006-0000-0200-0000FD000000}">
      <text>
        <r>
          <rPr>
            <sz val="8"/>
            <color indexed="81"/>
            <rFont val="Tahoma"/>
            <family val="2"/>
          </rPr>
          <t>Source: CLG domestic water efficiency calc, also used in BS8525 COP for greywater systems</t>
        </r>
      </text>
    </comment>
    <comment ref="AQ34" authorId="0" shapeId="0" xr:uid="{00000000-0006-0000-0200-0000FE00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34" authorId="0" shapeId="0" xr:uid="{00000000-0006-0000-0200-0000FF000000}">
      <text>
        <r>
          <rPr>
            <sz val="8"/>
            <color indexed="81"/>
            <rFont val="Tahoma"/>
            <family val="2"/>
          </rPr>
          <t>Two-thirds to account for the fact that taps will not to be run at full volume.</t>
        </r>
        <r>
          <rPr>
            <sz val="8"/>
            <color indexed="81"/>
            <rFont val="Tahoma"/>
            <family val="2"/>
          </rPr>
          <t xml:space="preserve">
</t>
        </r>
      </text>
    </comment>
    <comment ref="G35" authorId="0" shapeId="0" xr:uid="{00000000-0006-0000-0200-000000010000}">
      <text>
        <r>
          <rPr>
            <sz val="8"/>
            <color indexed="81"/>
            <rFont val="Tahoma"/>
            <family val="2"/>
          </rPr>
          <t>Standard ratio for employees.</t>
        </r>
      </text>
    </comment>
    <comment ref="H35" authorId="0" shapeId="0" xr:uid="{00000000-0006-0000-0200-000001010000}">
      <text>
        <r>
          <rPr>
            <sz val="8"/>
            <color indexed="81"/>
            <rFont val="Tahoma"/>
            <family val="2"/>
          </rPr>
          <t>Standard ratio for employees.</t>
        </r>
      </text>
    </comment>
    <comment ref="I35" authorId="0" shapeId="0" xr:uid="{00000000-0006-0000-0200-000002010000}">
      <text>
        <r>
          <rPr>
            <sz val="8"/>
            <color indexed="81"/>
            <rFont val="Tahoma"/>
            <family val="2"/>
          </rPr>
          <t xml:space="preserve">Source: BNWAT22
</t>
        </r>
      </text>
    </comment>
    <comment ref="J35" authorId="0" shapeId="0" xr:uid="{00000000-0006-0000-0200-000003010000}">
      <text>
        <r>
          <rPr>
            <sz val="8"/>
            <color indexed="81"/>
            <rFont val="Tahoma"/>
            <family val="2"/>
          </rPr>
          <t xml:space="preserve">Source: BNWAT22
</t>
        </r>
      </text>
    </comment>
    <comment ref="K35" authorId="0" shapeId="0" xr:uid="{00000000-0006-0000-0200-000004010000}">
      <text>
        <r>
          <rPr>
            <sz val="8"/>
            <color indexed="81"/>
            <rFont val="Tahoma"/>
            <family val="2"/>
          </rPr>
          <t xml:space="preserve">Source: BNWAT22
</t>
        </r>
      </text>
    </comment>
    <comment ref="L35" authorId="0" shapeId="0" xr:uid="{00000000-0006-0000-0200-000005010000}">
      <text>
        <r>
          <rPr>
            <sz val="8"/>
            <color indexed="81"/>
            <rFont val="Tahoma"/>
            <family val="2"/>
          </rPr>
          <t xml:space="preserve">Source: BNWAT22
</t>
        </r>
      </text>
    </comment>
    <comment ref="M35" authorId="0" shapeId="0" xr:uid="{00000000-0006-0000-0200-000006010000}">
      <text>
        <r>
          <rPr>
            <sz val="8"/>
            <color indexed="81"/>
            <rFont val="Tahoma"/>
            <family val="2"/>
          </rPr>
          <t>Assumes WHB tap usage for each WC visit.</t>
        </r>
      </text>
    </comment>
    <comment ref="N35" authorId="0" shapeId="0" xr:uid="{00000000-0006-0000-0200-000007010000}">
      <text>
        <r>
          <rPr>
            <sz val="8"/>
            <color indexed="81"/>
            <rFont val="Tahoma"/>
            <family val="2"/>
          </rPr>
          <t>As per shower use assumptions/data used for offices.</t>
        </r>
      </text>
    </comment>
    <comment ref="O35" authorId="0" shapeId="0" xr:uid="{00000000-0006-0000-0200-000008010000}">
      <text>
        <r>
          <rPr>
            <sz val="8"/>
            <color indexed="81"/>
            <rFont val="Tahoma"/>
            <family val="2"/>
          </rPr>
          <t>No bath use assumed in this building type.</t>
        </r>
      </text>
    </comment>
    <comment ref="P35" authorId="0" shapeId="0" xr:uid="{00000000-0006-0000-0200-000009010000}">
      <text>
        <r>
          <rPr>
            <sz val="8"/>
            <color indexed="81"/>
            <rFont val="Tahoma"/>
            <family val="2"/>
          </rPr>
          <t>No bath use assumed in this building type.</t>
        </r>
      </text>
    </comment>
    <comment ref="Q35" authorId="0" shapeId="0" xr:uid="{00000000-0006-0000-0200-00000A010000}">
      <text>
        <r>
          <rPr>
            <sz val="8"/>
            <color indexed="81"/>
            <rFont val="Tahoma"/>
            <family val="2"/>
          </rPr>
          <t>No bath use assumed in this building type.</t>
        </r>
      </text>
    </comment>
    <comment ref="G36" authorId="0" shapeId="0" xr:uid="{00000000-0006-0000-0200-00000B010000}">
      <text>
        <r>
          <rPr>
            <sz val="8"/>
            <color indexed="81"/>
            <rFont val="Tahoma"/>
            <family val="2"/>
          </rPr>
          <t>Source: BS 6465.</t>
        </r>
      </text>
    </comment>
    <comment ref="H36" authorId="0" shapeId="0" xr:uid="{00000000-0006-0000-0200-00000C010000}">
      <text>
        <r>
          <rPr>
            <sz val="8"/>
            <color indexed="81"/>
            <rFont val="Tahoma"/>
            <family val="2"/>
          </rPr>
          <t>Source: BS 6465.</t>
        </r>
      </text>
    </comment>
    <comment ref="I36" authorId="0" shapeId="0" xr:uid="{00000000-0006-0000-0200-00000D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(urinals) = ((1*0.8)/6)*1 = 0.1333
</t>
        </r>
      </text>
    </comment>
    <comment ref="J36" authorId="0" shapeId="0" xr:uid="{00000000-0006-0000-0200-00000E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(no urinals) = 1*0.8=0.8
</t>
        </r>
      </text>
    </comment>
    <comment ref="K36" authorId="0" shapeId="0" xr:uid="{00000000-0006-0000-0200-00000F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female = 1*0.8 0.8
</t>
        </r>
      </text>
    </comment>
    <comment ref="L36" authorId="0" shapeId="0" xr:uid="{00000000-0006-0000-0200-000010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Urinals = ((1*0.8)/6)*5 = 0.667
</t>
        </r>
      </text>
    </comment>
    <comment ref="M36" authorId="0" shapeId="0" xr:uid="{00000000-0006-0000-0200-000011010000}">
      <text>
        <r>
          <rPr>
            <sz val="8"/>
            <color indexed="81"/>
            <rFont val="Tahoma"/>
            <family val="2"/>
          </rPr>
          <t>Assumes WHB tap usage for each WC visit.</t>
        </r>
      </text>
    </comment>
    <comment ref="N36" authorId="0" shapeId="0" xr:uid="{00000000-0006-0000-0200-000012010000}">
      <text>
        <r>
          <rPr>
            <sz val="8"/>
            <color indexed="81"/>
            <rFont val="Tahoma"/>
            <family val="2"/>
          </rPr>
          <t>No customer shower use assumed.</t>
        </r>
      </text>
    </comment>
    <comment ref="O36" authorId="0" shapeId="0" xr:uid="{00000000-0006-0000-0200-000013010000}">
      <text>
        <r>
          <rPr>
            <sz val="8"/>
            <color indexed="81"/>
            <rFont val="Tahoma"/>
            <family val="2"/>
          </rPr>
          <t>No bath use assumed in this building type.</t>
        </r>
      </text>
    </comment>
    <comment ref="P36" authorId="0" shapeId="0" xr:uid="{00000000-0006-0000-0200-000014010000}">
      <text>
        <r>
          <rPr>
            <sz val="8"/>
            <color indexed="81"/>
            <rFont val="Tahoma"/>
            <family val="2"/>
          </rPr>
          <t>No bath use assumed in this building type.</t>
        </r>
      </text>
    </comment>
    <comment ref="Q36" authorId="0" shapeId="0" xr:uid="{00000000-0006-0000-0200-000015010000}">
      <text>
        <r>
          <rPr>
            <sz val="8"/>
            <color indexed="81"/>
            <rFont val="Tahoma"/>
            <family val="2"/>
          </rPr>
          <t>No bath use assumed in this building type.</t>
        </r>
      </text>
    </comment>
    <comment ref="X36" authorId="0" shapeId="0" xr:uid="{00000000-0006-0000-0200-000016010000}">
      <text>
        <r>
          <rPr>
            <sz val="8"/>
            <color indexed="81"/>
            <rFont val="Tahoma"/>
            <family val="2"/>
          </rPr>
          <t>No fixed use vessel filling from customers assumed.</t>
        </r>
      </text>
    </comment>
    <comment ref="D37" authorId="0" shapeId="0" xr:uid="{00000000-0006-0000-0200-000017010000}">
      <text>
        <r>
          <rPr>
            <sz val="8"/>
            <color indexed="81"/>
            <rFont val="Tahoma"/>
            <family val="2"/>
          </rPr>
          <t>Determined on the basis of 6 days a week opening 52 weeks a year, minus 8 bank holidays.</t>
        </r>
      </text>
    </comment>
    <comment ref="E37" authorId="0" shapeId="0" xr:uid="{00000000-0006-0000-0200-000018010000}">
      <text>
        <r>
          <rPr>
            <sz val="8"/>
            <color indexed="81"/>
            <rFont val="Tahoma"/>
            <family val="2"/>
          </rPr>
          <t>Assumes 9am-5pm opening hours.</t>
        </r>
      </text>
    </comment>
    <comment ref="G37" authorId="0" shapeId="0" xr:uid="{00000000-0006-0000-0200-000019010000}">
      <text>
        <r>
          <rPr>
            <sz val="8"/>
            <color indexed="81"/>
            <rFont val="Tahoma"/>
            <family val="2"/>
          </rPr>
          <t>This overall ratio is determined using the two separate ratios for staff and customers (below) and the ratio between staff/customers (calculated in the retail calculator).</t>
        </r>
      </text>
    </comment>
    <comment ref="H37" authorId="0" shapeId="0" xr:uid="{00000000-0006-0000-0200-00001A010000}">
      <text>
        <r>
          <rPr>
            <sz val="8"/>
            <color indexed="81"/>
            <rFont val="Tahoma"/>
            <family val="2"/>
          </rPr>
          <t>This overall ratio is determined using the two separate ratios for staff and customers (below) and the ratio between staff/customers (calculated in the retail calculator).</t>
        </r>
      </text>
    </comment>
    <comment ref="I37" authorId="0" shapeId="0" xr:uid="{00000000-0006-0000-0200-00001B010000}">
      <text>
        <r>
          <rPr>
            <sz val="8"/>
            <color indexed="81"/>
            <rFont val="Tahoma"/>
            <family val="2"/>
          </rPr>
          <t>This overall usage factor is determined using the two separate factors for staff and customers (below) and the ratio between staff/customers (calculated in the retail calculator).</t>
        </r>
      </text>
    </comment>
    <comment ref="J37" authorId="0" shapeId="0" xr:uid="{00000000-0006-0000-0200-00001C010000}">
      <text>
        <r>
          <rPr>
            <sz val="8"/>
            <color indexed="81"/>
            <rFont val="Tahoma"/>
            <family val="2"/>
          </rPr>
          <t>This overall usage factor is determined using the two separate factors for staff and customers (below) and the ratio between staff/customers (calculated in the retail calculator).</t>
        </r>
      </text>
    </comment>
    <comment ref="K37" authorId="0" shapeId="0" xr:uid="{00000000-0006-0000-0200-00001D010000}">
      <text>
        <r>
          <rPr>
            <sz val="8"/>
            <color indexed="81"/>
            <rFont val="Tahoma"/>
            <family val="2"/>
          </rPr>
          <t>This overall usage factor is determined using the two separate factors for staff and customers (below) and the ratio between staff/customers (calculated in the retail calculator).</t>
        </r>
      </text>
    </comment>
    <comment ref="L37" authorId="0" shapeId="0" xr:uid="{00000000-0006-0000-0200-00001E010000}">
      <text>
        <r>
          <rPr>
            <sz val="8"/>
            <color indexed="81"/>
            <rFont val="Tahoma"/>
            <family val="2"/>
          </rPr>
          <t>This overall usage factor is determined using the two separate factors for staff and customers (below) and the ratio between staff/customers (calculated in the retail calculator).</t>
        </r>
      </text>
    </comment>
    <comment ref="M37" authorId="0" shapeId="0" xr:uid="{00000000-0006-0000-0200-00001F010000}">
      <text>
        <r>
          <rPr>
            <sz val="8"/>
            <color indexed="81"/>
            <rFont val="Tahoma"/>
            <family val="2"/>
          </rPr>
          <t>This overall usage factor is determined using the two separate factors for staff and customers (below) and the ratio between staff/customers (calculated in the retail calculator).</t>
        </r>
      </text>
    </comment>
    <comment ref="O37" authorId="0" shapeId="0" xr:uid="{00000000-0006-0000-0200-000020010000}">
      <text>
        <r>
          <rPr>
            <sz val="8"/>
            <color indexed="81"/>
            <rFont val="Tahoma"/>
            <family val="2"/>
          </rPr>
          <t>No bath use assumed in this building type.</t>
        </r>
      </text>
    </comment>
    <comment ref="P37" authorId="0" shapeId="0" xr:uid="{00000000-0006-0000-0200-000021010000}">
      <text>
        <r>
          <rPr>
            <sz val="8"/>
            <color indexed="81"/>
            <rFont val="Tahoma"/>
            <family val="2"/>
          </rPr>
          <t>No bath use assumed in this building type.</t>
        </r>
      </text>
    </comment>
    <comment ref="Q37" authorId="0" shapeId="0" xr:uid="{00000000-0006-0000-0200-000022010000}">
      <text>
        <r>
          <rPr>
            <sz val="8"/>
            <color indexed="81"/>
            <rFont val="Tahoma"/>
            <family val="2"/>
          </rPr>
          <t>No bath use assumed in this building type.</t>
        </r>
      </text>
    </comment>
    <comment ref="AC37" authorId="0" shapeId="0" xr:uid="{00000000-0006-0000-0200-00002301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37" authorId="0" shapeId="0" xr:uid="{00000000-0006-0000-0200-000024010000}">
      <text>
        <r>
          <rPr>
            <sz val="8"/>
            <color indexed="81"/>
            <rFont val="Tahoma"/>
            <family val="2"/>
          </rPr>
          <t>Source: CLG domestic water efficiency calc, also used in BS8525 COP for greywater systems.</t>
        </r>
      </text>
    </comment>
    <comment ref="AE37" authorId="0" shapeId="0" xr:uid="{00000000-0006-0000-0200-000025010000}">
      <text>
        <r>
          <rPr>
            <sz val="8"/>
            <color indexed="81"/>
            <rFont val="Tahoma"/>
            <family val="2"/>
          </rPr>
          <t>Source: CLG domestic water efficiency calc, also used in BS8525 COP for greywater systems</t>
        </r>
      </text>
    </comment>
    <comment ref="AQ37" authorId="0" shapeId="0" xr:uid="{00000000-0006-0000-0200-00002601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37" authorId="0" shapeId="0" xr:uid="{00000000-0006-0000-0200-000027010000}">
      <text>
        <r>
          <rPr>
            <sz val="8"/>
            <color indexed="81"/>
            <rFont val="Tahoma"/>
            <family val="2"/>
          </rPr>
          <t>Two-thirds to account for the fact that taps will not to be run at full volume.</t>
        </r>
        <r>
          <rPr>
            <sz val="8"/>
            <color indexed="81"/>
            <rFont val="Tahoma"/>
            <family val="2"/>
          </rPr>
          <t xml:space="preserve">
</t>
        </r>
      </text>
    </comment>
    <comment ref="G38" authorId="0" shapeId="0" xr:uid="{00000000-0006-0000-0200-000028010000}">
      <text>
        <r>
          <rPr>
            <sz val="8"/>
            <color indexed="81"/>
            <rFont val="Tahoma"/>
            <family val="2"/>
          </rPr>
          <t>Standard ratio for employees.</t>
        </r>
      </text>
    </comment>
    <comment ref="H38" authorId="0" shapeId="0" xr:uid="{00000000-0006-0000-0200-000029010000}">
      <text>
        <r>
          <rPr>
            <sz val="8"/>
            <color indexed="81"/>
            <rFont val="Tahoma"/>
            <family val="2"/>
          </rPr>
          <t>Standard ratio for employees.</t>
        </r>
      </text>
    </comment>
    <comment ref="I38" authorId="0" shapeId="0" xr:uid="{00000000-0006-0000-0200-00002A010000}">
      <text>
        <r>
          <rPr>
            <sz val="8"/>
            <color indexed="81"/>
            <rFont val="Tahoma"/>
            <family val="2"/>
          </rPr>
          <t xml:space="preserve">Source: BNWAT22
</t>
        </r>
      </text>
    </comment>
    <comment ref="J38" authorId="0" shapeId="0" xr:uid="{00000000-0006-0000-0200-00002B010000}">
      <text>
        <r>
          <rPr>
            <sz val="8"/>
            <color indexed="81"/>
            <rFont val="Tahoma"/>
            <family val="2"/>
          </rPr>
          <t xml:space="preserve">Source: BNWAT22
</t>
        </r>
      </text>
    </comment>
    <comment ref="K38" authorId="0" shapeId="0" xr:uid="{00000000-0006-0000-0200-00002C010000}">
      <text>
        <r>
          <rPr>
            <sz val="8"/>
            <color indexed="81"/>
            <rFont val="Tahoma"/>
            <family val="2"/>
          </rPr>
          <t xml:space="preserve">Source: BNWAT22
</t>
        </r>
      </text>
    </comment>
    <comment ref="L38" authorId="0" shapeId="0" xr:uid="{00000000-0006-0000-0200-00002D010000}">
      <text>
        <r>
          <rPr>
            <sz val="8"/>
            <color indexed="81"/>
            <rFont val="Tahoma"/>
            <family val="2"/>
          </rPr>
          <t xml:space="preserve">Source: BNWAT22
</t>
        </r>
      </text>
    </comment>
    <comment ref="M38" authorId="0" shapeId="0" xr:uid="{00000000-0006-0000-0200-00002E010000}">
      <text>
        <r>
          <rPr>
            <sz val="8"/>
            <color indexed="81"/>
            <rFont val="Tahoma"/>
            <family val="2"/>
          </rPr>
          <t>Assumes WHB tap usage for each WC visit.</t>
        </r>
      </text>
    </comment>
    <comment ref="N38" authorId="0" shapeId="0" xr:uid="{00000000-0006-0000-0200-00002F010000}">
      <text>
        <r>
          <rPr>
            <sz val="8"/>
            <color indexed="81"/>
            <rFont val="Tahoma"/>
            <family val="2"/>
          </rPr>
          <t>As per shower use assumptions/data used for offices.</t>
        </r>
      </text>
    </comment>
    <comment ref="O38" authorId="0" shapeId="0" xr:uid="{00000000-0006-0000-0200-000030010000}">
      <text>
        <r>
          <rPr>
            <sz val="8"/>
            <color indexed="81"/>
            <rFont val="Tahoma"/>
            <family val="2"/>
          </rPr>
          <t>No bath use assumed in this building type.</t>
        </r>
      </text>
    </comment>
    <comment ref="P38" authorId="0" shapeId="0" xr:uid="{00000000-0006-0000-0200-000031010000}">
      <text>
        <r>
          <rPr>
            <sz val="8"/>
            <color indexed="81"/>
            <rFont val="Tahoma"/>
            <family val="2"/>
          </rPr>
          <t>No bath use assumed in this building type.</t>
        </r>
      </text>
    </comment>
    <comment ref="Q38" authorId="0" shapeId="0" xr:uid="{00000000-0006-0000-0200-000032010000}">
      <text>
        <r>
          <rPr>
            <sz val="8"/>
            <color indexed="81"/>
            <rFont val="Tahoma"/>
            <family val="2"/>
          </rPr>
          <t>No bath use assumed in this building type.</t>
        </r>
      </text>
    </comment>
    <comment ref="G39" authorId="0" shapeId="0" xr:uid="{00000000-0006-0000-0200-000033010000}">
      <text>
        <r>
          <rPr>
            <sz val="8"/>
            <color indexed="81"/>
            <rFont val="Tahoma"/>
            <family val="2"/>
          </rPr>
          <t>Source: BS 6465.</t>
        </r>
      </text>
    </comment>
    <comment ref="H39" authorId="0" shapeId="0" xr:uid="{00000000-0006-0000-0200-000034010000}">
      <text>
        <r>
          <rPr>
            <sz val="8"/>
            <color indexed="81"/>
            <rFont val="Tahoma"/>
            <family val="2"/>
          </rPr>
          <t>Source: BS 6465.</t>
        </r>
      </text>
    </comment>
    <comment ref="I39" authorId="0" shapeId="0" xr:uid="{00000000-0006-0000-0200-000035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(urinals) = ((1*0.8)/6)*1 = 0.1333
</t>
        </r>
      </text>
    </comment>
    <comment ref="J39" authorId="0" shapeId="0" xr:uid="{00000000-0006-0000-0200-000036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(no urinals) = 1*0.8=0.8
</t>
        </r>
      </text>
    </comment>
    <comment ref="K39" authorId="0" shapeId="0" xr:uid="{00000000-0006-0000-0200-000037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female = 1*0.8 0.8
</t>
        </r>
      </text>
    </comment>
    <comment ref="L39" authorId="0" shapeId="0" xr:uid="{00000000-0006-0000-0200-000038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Urinals = ((1*0.8)/6)*5 = 0.667
</t>
        </r>
      </text>
    </comment>
    <comment ref="M39" authorId="0" shapeId="0" xr:uid="{00000000-0006-0000-0200-000039010000}">
      <text>
        <r>
          <rPr>
            <sz val="8"/>
            <color indexed="81"/>
            <rFont val="Tahoma"/>
            <family val="2"/>
          </rPr>
          <t>Assumes WHB tap usage for each WC visit.</t>
        </r>
      </text>
    </comment>
    <comment ref="N39" authorId="0" shapeId="0" xr:uid="{00000000-0006-0000-0200-00003A010000}">
      <text>
        <r>
          <rPr>
            <sz val="8"/>
            <color indexed="81"/>
            <rFont val="Tahoma"/>
            <family val="2"/>
          </rPr>
          <t>No customer shower use assumed.</t>
        </r>
      </text>
    </comment>
    <comment ref="O39" authorId="0" shapeId="0" xr:uid="{00000000-0006-0000-0200-00003B010000}">
      <text>
        <r>
          <rPr>
            <sz val="8"/>
            <color indexed="81"/>
            <rFont val="Tahoma"/>
            <family val="2"/>
          </rPr>
          <t>No bath use assumed in this building type.</t>
        </r>
      </text>
    </comment>
    <comment ref="P39" authorId="0" shapeId="0" xr:uid="{00000000-0006-0000-0200-00003C010000}">
      <text>
        <r>
          <rPr>
            <sz val="8"/>
            <color indexed="81"/>
            <rFont val="Tahoma"/>
            <family val="2"/>
          </rPr>
          <t>No bath use assumed in this building type.</t>
        </r>
      </text>
    </comment>
    <comment ref="Q39" authorId="0" shapeId="0" xr:uid="{00000000-0006-0000-0200-00003D010000}">
      <text>
        <r>
          <rPr>
            <sz val="8"/>
            <color indexed="81"/>
            <rFont val="Tahoma"/>
            <family val="2"/>
          </rPr>
          <t>No bath use assumed in this building type.</t>
        </r>
      </text>
    </comment>
    <comment ref="X39" authorId="0" shapeId="0" xr:uid="{00000000-0006-0000-0200-00003E010000}">
      <text>
        <r>
          <rPr>
            <sz val="8"/>
            <color indexed="81"/>
            <rFont val="Tahoma"/>
            <family val="2"/>
          </rPr>
          <t>No fixed use vessel filling from customers assumed.</t>
        </r>
      </text>
    </comment>
    <comment ref="D40" authorId="0" shapeId="0" xr:uid="{00000000-0006-0000-0200-00003F010000}">
      <text>
        <r>
          <rPr>
            <sz val="8"/>
            <color indexed="81"/>
            <rFont val="Tahoma"/>
            <family val="2"/>
          </rPr>
          <t>Determined on the basis of 7 days a week opening 52 weeks a year, minus 4 days for Christmas, boxing and easter holidays. Sunday opening is assumed.</t>
        </r>
      </text>
    </comment>
    <comment ref="E40" authorId="0" shapeId="0" xr:uid="{00000000-0006-0000-0200-000040010000}">
      <text>
        <r>
          <rPr>
            <sz val="8"/>
            <color indexed="81"/>
            <rFont val="Tahoma"/>
            <family val="2"/>
          </rPr>
          <t>Assumes 9am - 6pm Mon-Sat with 9pm opening on a Thursday. 11am-5pm on Sunday. Therefore average daily opening hours is 9hrs.</t>
        </r>
      </text>
    </comment>
    <comment ref="G40" authorId="0" shapeId="0" xr:uid="{00000000-0006-0000-0200-000041010000}">
      <text>
        <r>
          <rPr>
            <sz val="8"/>
            <color indexed="81"/>
            <rFont val="Tahoma"/>
            <family val="2"/>
          </rPr>
          <t>This overall ratio is determined using the two separate ratios for staff and customers (below) and the ratio between staff/customers (calculated in the retail calculator).</t>
        </r>
      </text>
    </comment>
    <comment ref="H40" authorId="0" shapeId="0" xr:uid="{00000000-0006-0000-0200-000042010000}">
      <text>
        <r>
          <rPr>
            <sz val="8"/>
            <color indexed="81"/>
            <rFont val="Tahoma"/>
            <family val="2"/>
          </rPr>
          <t>This overall ratio is determined using the two separate ratios for staff and customers (below) and the ratio between staff/customers (calculated in the retail calculator).</t>
        </r>
      </text>
    </comment>
    <comment ref="I40" authorId="0" shapeId="0" xr:uid="{00000000-0006-0000-0200-000043010000}">
      <text>
        <r>
          <rPr>
            <sz val="8"/>
            <color indexed="81"/>
            <rFont val="Tahoma"/>
            <family val="2"/>
          </rPr>
          <t>This overall usage factor is determined using the two separate factors for staff and customers (below) and the ratio between staff/customers (calculated in the retail calculator).</t>
        </r>
      </text>
    </comment>
    <comment ref="J40" authorId="0" shapeId="0" xr:uid="{00000000-0006-0000-0200-000044010000}">
      <text>
        <r>
          <rPr>
            <sz val="8"/>
            <color indexed="81"/>
            <rFont val="Tahoma"/>
            <family val="2"/>
          </rPr>
          <t>This overall usage factor is determined using the two separate factors for staff and customers (below) and the ratio between staff/customers (calculated in the retail calculator).</t>
        </r>
      </text>
    </comment>
    <comment ref="K40" authorId="0" shapeId="0" xr:uid="{00000000-0006-0000-0200-000045010000}">
      <text>
        <r>
          <rPr>
            <sz val="8"/>
            <color indexed="81"/>
            <rFont val="Tahoma"/>
            <family val="2"/>
          </rPr>
          <t>This overall usage factor is determined using the two separate factors for staff and customers (below) and the ratio between staff/customers (calculated in the retail calculator).</t>
        </r>
      </text>
    </comment>
    <comment ref="L40" authorId="0" shapeId="0" xr:uid="{00000000-0006-0000-0200-000046010000}">
      <text>
        <r>
          <rPr>
            <sz val="8"/>
            <color indexed="81"/>
            <rFont val="Tahoma"/>
            <family val="2"/>
          </rPr>
          <t>This overall usage factor is determined using the two separate factors for staff and customers (below) and the ratio between staff/customers (calculated in the retail calculator).</t>
        </r>
      </text>
    </comment>
    <comment ref="M40" authorId="0" shapeId="0" xr:uid="{00000000-0006-0000-0200-000047010000}">
      <text>
        <r>
          <rPr>
            <sz val="8"/>
            <color indexed="81"/>
            <rFont val="Tahoma"/>
            <family val="2"/>
          </rPr>
          <t>This overall usage factor is determined using the two separate factors for staff and customers (below) and the ratio between staff/customers (calculated in the retail calculator).</t>
        </r>
      </text>
    </comment>
    <comment ref="O40" authorId="0" shapeId="0" xr:uid="{00000000-0006-0000-0200-000048010000}">
      <text>
        <r>
          <rPr>
            <sz val="8"/>
            <color indexed="81"/>
            <rFont val="Tahoma"/>
            <family val="2"/>
          </rPr>
          <t>No bath use assumed in this building type.</t>
        </r>
      </text>
    </comment>
    <comment ref="P40" authorId="0" shapeId="0" xr:uid="{00000000-0006-0000-0200-000049010000}">
      <text>
        <r>
          <rPr>
            <sz val="8"/>
            <color indexed="81"/>
            <rFont val="Tahoma"/>
            <family val="2"/>
          </rPr>
          <t>No bath use assumed in this building type.</t>
        </r>
      </text>
    </comment>
    <comment ref="Q40" authorId="0" shapeId="0" xr:uid="{00000000-0006-0000-0200-00004A010000}">
      <text>
        <r>
          <rPr>
            <sz val="8"/>
            <color indexed="81"/>
            <rFont val="Tahoma"/>
            <family val="2"/>
          </rPr>
          <t>No bath use assumed in this building type.</t>
        </r>
      </text>
    </comment>
    <comment ref="AC40" authorId="0" shapeId="0" xr:uid="{00000000-0006-0000-0200-00004B010000}">
      <text>
        <r>
          <rPr>
            <b/>
            <sz val="8"/>
            <color indexed="81"/>
            <rFont val="Tahoma"/>
            <family val="2"/>
          </rPr>
          <t>Source:</t>
        </r>
        <r>
          <rPr>
            <sz val="8"/>
            <color indexed="81"/>
            <rFont val="Tahoma"/>
            <family val="2"/>
          </rPr>
          <t xml:space="preserve"> Communities and Local Government Research to Assess the Costs and Benefits of Improvements to the Water Efficiency of New Non-household Buildings (BD2683)
Equivalent to 15 seconds.</t>
        </r>
        <r>
          <rPr>
            <b/>
            <sz val="8"/>
            <color indexed="81"/>
            <rFont val="Tahoma"/>
            <family val="2"/>
          </rPr>
          <t xml:space="preserve">
</t>
        </r>
        <r>
          <rPr>
            <sz val="8"/>
            <color indexed="81"/>
            <rFont val="Tahoma"/>
            <family val="2"/>
          </rPr>
          <t xml:space="preserve">
</t>
        </r>
      </text>
    </comment>
    <comment ref="AD40" authorId="0" shapeId="0" xr:uid="{00000000-0006-0000-0200-00004C010000}">
      <text>
        <r>
          <rPr>
            <sz val="8"/>
            <color indexed="81"/>
            <rFont val="Tahoma"/>
            <family val="2"/>
          </rPr>
          <t>Source: CLG domestic water efficiency calc, also used in BS8525 COP for greywater systems.</t>
        </r>
      </text>
    </comment>
    <comment ref="AE40" authorId="0" shapeId="0" xr:uid="{00000000-0006-0000-0200-00004D010000}">
      <text>
        <r>
          <rPr>
            <sz val="8"/>
            <color indexed="81"/>
            <rFont val="Tahoma"/>
            <family val="2"/>
          </rPr>
          <t>Source: CLG domestic water efficiency calc, also used in BS8525 COP for greywater systems</t>
        </r>
      </text>
    </comment>
    <comment ref="AQ40" authorId="0" shapeId="0" xr:uid="{00000000-0006-0000-0200-00004E010000}">
      <text>
        <r>
          <rPr>
            <b/>
            <sz val="8"/>
            <color indexed="81"/>
            <rFont val="Tahoma"/>
            <family val="2"/>
          </rPr>
          <t xml:space="preserve">MTP BNWat07 "Baths": </t>
        </r>
        <r>
          <rPr>
            <sz val="8"/>
            <color indexed="81"/>
            <rFont val="Tahoma"/>
            <family val="2"/>
          </rPr>
          <t>The average volume of water used per bath is approximately 40 % of the maximum volume of the bath as defined by the overflow point.
This reflects that a) people don't fill bath to the overflow and b) the Archimedes' principle of buoyancy i.e. average human will displace 70 litres of water.</t>
        </r>
        <r>
          <rPr>
            <sz val="8"/>
            <color indexed="81"/>
            <rFont val="Tahoma"/>
            <family val="2"/>
          </rPr>
          <t xml:space="preserve">
</t>
        </r>
      </text>
    </comment>
    <comment ref="AR40" authorId="0" shapeId="0" xr:uid="{00000000-0006-0000-0200-00004F010000}">
      <text>
        <r>
          <rPr>
            <sz val="8"/>
            <color indexed="81"/>
            <rFont val="Tahoma"/>
            <family val="2"/>
          </rPr>
          <t>Two-thirds to account for the fact that taps will not to be run at full volume.</t>
        </r>
        <r>
          <rPr>
            <sz val="8"/>
            <color indexed="81"/>
            <rFont val="Tahoma"/>
            <family val="2"/>
          </rPr>
          <t xml:space="preserve">
</t>
        </r>
      </text>
    </comment>
    <comment ref="G41" authorId="0" shapeId="0" xr:uid="{00000000-0006-0000-0200-000050010000}">
      <text>
        <r>
          <rPr>
            <sz val="8"/>
            <color indexed="81"/>
            <rFont val="Tahoma"/>
            <family val="2"/>
          </rPr>
          <t>Standard ratio for employees.</t>
        </r>
      </text>
    </comment>
    <comment ref="H41" authorId="0" shapeId="0" xr:uid="{00000000-0006-0000-0200-000051010000}">
      <text>
        <r>
          <rPr>
            <sz val="8"/>
            <color indexed="81"/>
            <rFont val="Tahoma"/>
            <family val="2"/>
          </rPr>
          <t>Standard ratio for employees.</t>
        </r>
      </text>
    </comment>
    <comment ref="I41" authorId="0" shapeId="0" xr:uid="{00000000-0006-0000-0200-000052010000}">
      <text>
        <r>
          <rPr>
            <sz val="8"/>
            <color indexed="81"/>
            <rFont val="Tahoma"/>
            <family val="2"/>
          </rPr>
          <t xml:space="preserve">Source: BNWAT22
</t>
        </r>
      </text>
    </comment>
    <comment ref="J41" authorId="0" shapeId="0" xr:uid="{00000000-0006-0000-0200-000053010000}">
      <text>
        <r>
          <rPr>
            <sz val="8"/>
            <color indexed="81"/>
            <rFont val="Tahoma"/>
            <family val="2"/>
          </rPr>
          <t xml:space="preserve">Source: BNWAT22
</t>
        </r>
      </text>
    </comment>
    <comment ref="K41" authorId="0" shapeId="0" xr:uid="{00000000-0006-0000-0200-000054010000}">
      <text>
        <r>
          <rPr>
            <sz val="8"/>
            <color indexed="81"/>
            <rFont val="Tahoma"/>
            <family val="2"/>
          </rPr>
          <t xml:space="preserve">Source: BNWAT22
</t>
        </r>
      </text>
    </comment>
    <comment ref="L41" authorId="0" shapeId="0" xr:uid="{00000000-0006-0000-0200-000055010000}">
      <text>
        <r>
          <rPr>
            <sz val="8"/>
            <color indexed="81"/>
            <rFont val="Tahoma"/>
            <family val="2"/>
          </rPr>
          <t xml:space="preserve">Source: BNWAT22
</t>
        </r>
      </text>
    </comment>
    <comment ref="M41" authorId="0" shapeId="0" xr:uid="{00000000-0006-0000-0200-000056010000}">
      <text>
        <r>
          <rPr>
            <sz val="8"/>
            <color indexed="81"/>
            <rFont val="Tahoma"/>
            <family val="2"/>
          </rPr>
          <t>Assumes WHB tap usage for each WC visit.</t>
        </r>
      </text>
    </comment>
    <comment ref="N41" authorId="0" shapeId="0" xr:uid="{00000000-0006-0000-0200-000057010000}">
      <text>
        <r>
          <rPr>
            <sz val="8"/>
            <color indexed="81"/>
            <rFont val="Tahoma"/>
            <family val="2"/>
          </rPr>
          <t>As per shower use assumptions/data used for offices.</t>
        </r>
      </text>
    </comment>
    <comment ref="O41" authorId="0" shapeId="0" xr:uid="{00000000-0006-0000-0200-000058010000}">
      <text>
        <r>
          <rPr>
            <sz val="8"/>
            <color indexed="81"/>
            <rFont val="Tahoma"/>
            <family val="2"/>
          </rPr>
          <t>No bath use assumed in this building type.</t>
        </r>
      </text>
    </comment>
    <comment ref="P41" authorId="0" shapeId="0" xr:uid="{00000000-0006-0000-0200-000059010000}">
      <text>
        <r>
          <rPr>
            <sz val="8"/>
            <color indexed="81"/>
            <rFont val="Tahoma"/>
            <family val="2"/>
          </rPr>
          <t>No bath use assumed in this building type.</t>
        </r>
      </text>
    </comment>
    <comment ref="Q41" authorId="0" shapeId="0" xr:uid="{00000000-0006-0000-0200-00005A010000}">
      <text>
        <r>
          <rPr>
            <sz val="8"/>
            <color indexed="81"/>
            <rFont val="Tahoma"/>
            <family val="2"/>
          </rPr>
          <t>No bath use assumed in this building type.</t>
        </r>
      </text>
    </comment>
    <comment ref="G42" authorId="0" shapeId="0" xr:uid="{00000000-0006-0000-0200-00005B010000}">
      <text>
        <r>
          <rPr>
            <sz val="8"/>
            <color indexed="81"/>
            <rFont val="Tahoma"/>
            <family val="2"/>
          </rPr>
          <t>Source: BS 6465.</t>
        </r>
      </text>
    </comment>
    <comment ref="H42" authorId="0" shapeId="0" xr:uid="{00000000-0006-0000-0200-00005C010000}">
      <text>
        <r>
          <rPr>
            <sz val="8"/>
            <color indexed="81"/>
            <rFont val="Tahoma"/>
            <family val="2"/>
          </rPr>
          <t>Source: BS 6465.</t>
        </r>
      </text>
    </comment>
    <comment ref="I42" authorId="0" shapeId="0" xr:uid="{00000000-0006-0000-0200-00005D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(urinals) = ((1*0.8)/6)*1 = 0.1333
</t>
        </r>
      </text>
    </comment>
    <comment ref="J42" authorId="0" shapeId="0" xr:uid="{00000000-0006-0000-0200-00005E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male (no urinals) = 1*0.8=0.8
</t>
        </r>
      </text>
    </comment>
    <comment ref="K42" authorId="0" shapeId="0" xr:uid="{00000000-0006-0000-0200-00005F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WC female = 1*0.8 0.8
</t>
        </r>
      </text>
    </comment>
    <comment ref="L42" authorId="0" shapeId="0" xr:uid="{00000000-0006-0000-0200-000060010000}">
      <text>
        <r>
          <rPr>
            <sz val="8"/>
            <color indexed="81"/>
            <rFont val="Tahoma"/>
            <family val="2"/>
          </rPr>
          <t xml:space="preserve">Customers use WC/urinal facilities on 80 per cent of shopping visits (source: BD2683, slightly lower than BNWAT22 report assumption); male customers use a WC on 1 in 6 occasions and a urinal on 5 of 6 occasions (Source: BNWAT22).
Therefore, usage per person is calculated as:
Urinals = ((1*0.8)/6)*5 = 0.667
</t>
        </r>
      </text>
    </comment>
    <comment ref="M42" authorId="0" shapeId="0" xr:uid="{00000000-0006-0000-0200-000061010000}">
      <text>
        <r>
          <rPr>
            <sz val="8"/>
            <color indexed="81"/>
            <rFont val="Tahoma"/>
            <family val="2"/>
          </rPr>
          <t>Assumes WHB tap usage for each WC visit.</t>
        </r>
      </text>
    </comment>
    <comment ref="N42" authorId="0" shapeId="0" xr:uid="{00000000-0006-0000-0200-000062010000}">
      <text>
        <r>
          <rPr>
            <sz val="8"/>
            <color indexed="81"/>
            <rFont val="Tahoma"/>
            <family val="2"/>
          </rPr>
          <t>No customer shower use assumed.</t>
        </r>
      </text>
    </comment>
    <comment ref="O42" authorId="0" shapeId="0" xr:uid="{00000000-0006-0000-0200-000063010000}">
      <text>
        <r>
          <rPr>
            <sz val="8"/>
            <color indexed="81"/>
            <rFont val="Tahoma"/>
            <family val="2"/>
          </rPr>
          <t>No bath use assumed in this building type.</t>
        </r>
      </text>
    </comment>
    <comment ref="P42" authorId="0" shapeId="0" xr:uid="{00000000-0006-0000-0200-000064010000}">
      <text>
        <r>
          <rPr>
            <sz val="8"/>
            <color indexed="81"/>
            <rFont val="Tahoma"/>
            <family val="2"/>
          </rPr>
          <t>No bath use assumed in this building type.</t>
        </r>
      </text>
    </comment>
    <comment ref="Q42" authorId="0" shapeId="0" xr:uid="{00000000-0006-0000-0200-000065010000}">
      <text>
        <r>
          <rPr>
            <sz val="8"/>
            <color indexed="81"/>
            <rFont val="Tahoma"/>
            <family val="2"/>
          </rPr>
          <t>No bath use assumed in this building type.</t>
        </r>
      </text>
    </comment>
    <comment ref="X42" authorId="0" shapeId="0" xr:uid="{00000000-0006-0000-0200-000066010000}">
      <text>
        <r>
          <rPr>
            <sz val="8"/>
            <color indexed="81"/>
            <rFont val="Tahoma"/>
            <family val="2"/>
          </rPr>
          <t>No fixed use vessel filling from customers assumed.</t>
        </r>
      </text>
    </comment>
    <comment ref="C43" authorId="0" shapeId="0" xr:uid="{00000000-0006-0000-0200-000067010000}">
      <text>
        <r>
          <rPr>
            <sz val="8"/>
            <color indexed="81"/>
            <rFont val="Tahoma"/>
            <family val="2"/>
          </rPr>
          <t>Table 1, floor space factors in the Building Regulations 2000 Approved Document B Fire Safety states 7.0m2/person (maximum density) for this type of retail space. Therefore, maximum density in person/m2 is 1/7= 0.143.
The average number of customers in store at any one time is 40 per cent of design capacity and the average visit is 0.5hrs (source: BD2683). Therefore, overall customer occupancy is calculated using the ratio provided here, the average opening hours/day for the retail type, the lenght of visit and 40% figure.
For the purpose of determining staff numbers in retail areas  the figure of 1 employee per 90m2 Gross Internal Area is used (source: Employment Densities, a full guide, Arup Economics and Planning, 2001). This figure is converted from gross to net (as that is the measure used by the calculator) by multiplying 90m2 by a factor of 0.85 to give a figure of 76.5m2/employee, which is 0.013 employees/m2.
The staff ratio is not listed here, but used in the retail calculator to determine staff numbers for this building area.</t>
        </r>
      </text>
    </comment>
    <comment ref="C44" authorId="0" shapeId="0" xr:uid="{00000000-0006-0000-0200-000068010000}">
      <text>
        <r>
          <rPr>
            <sz val="8"/>
            <color indexed="81"/>
            <rFont val="Tahoma"/>
            <family val="2"/>
          </rPr>
          <t>Table 1, floor space factors in the Building Regulations 2000 Approved Document B Fire Safety states 2.0m2/person (maximum density) for this type of retail space. Therefore, maximum density in person/m2 is 1/2= 0.50.
The average number of customers in store at any one time is 40 per cent of design capacity and the average visit is 0.5hrs (source: BD2683). Therefore, overall customer occupancy is calculated using the ratio provided here, the average opening hours/day for the retail type, the lenght of visit and 40% figure.
For the purpose of determining staff numbers in retail areas  the figure of 1 employee per 20m2 Gross Internal Area is used (source: Employment Densities, a full guide, Arup Economics and Planning, 2001). This figure is converted from gross to net (as that is the measure used by the calculator) by multiplying 20m2 by a factor of 0.85 to give a figure of 17m2/employee, which is 0.059 employees/m2.
The staff ratio is not listed here, but used in the retail calculator to determine staff numbers for this building area.</t>
        </r>
      </text>
    </comment>
    <comment ref="C45" authorId="0" shapeId="0" xr:uid="{00000000-0006-0000-0200-000069010000}">
      <text>
        <r>
          <rPr>
            <sz val="8"/>
            <color indexed="81"/>
            <rFont val="Tahoma"/>
            <family val="2"/>
          </rPr>
          <t xml:space="preserve">Table 1, floor space factors in the Building Regulations 2000 Approved Document B Fire Safety states 0.7m2/person (maximum density) for this type of retail space. Therefore, maximum density in person/m2 is 1/0.7= 1.43.
The average number of customers in store at any one time is 40 per cent of design capacity and the average visit is 0.5hrs (source: BD2683). Therefore, overall customer occupancy is calculated using the ratio provided here, the average opening hours/day for the retail type, the lenght of visit and 40% figure.
</t>
        </r>
      </text>
    </comment>
    <comment ref="C46" authorId="0" shapeId="0" xr:uid="{00000000-0006-0000-0200-00006A010000}">
      <text>
        <r>
          <rPr>
            <sz val="8"/>
            <color indexed="81"/>
            <rFont val="Tahoma"/>
            <family val="2"/>
          </rPr>
          <t>Source: NCM activity database (11/08/10) for retail and financial/professional services.</t>
        </r>
      </text>
    </comment>
    <comment ref="R46" authorId="0" shapeId="0" xr:uid="{00000000-0006-0000-0200-00006B010000}">
      <text>
        <r>
          <rPr>
            <sz val="8"/>
            <color indexed="81"/>
            <rFont val="Tahoma"/>
            <family val="2"/>
          </rPr>
          <t xml:space="preserve">Usage is as per offices (for staff) i.e. 1.00. Source: Communities and Local Government Research to Assess the Costs and Benefits of Improvements to the Water Efficiency of New Non-household Buildings (Entec Oct 2009).
The staff ratio (calculated in the retail calculator) is applied to the usage factor (above) to give the ratio presented here.
</t>
        </r>
      </text>
    </comment>
    <comment ref="U46" authorId="0" shapeId="0" xr:uid="{00000000-0006-0000-0200-00006C010000}">
      <text>
        <r>
          <rPr>
            <sz val="8"/>
            <color indexed="81"/>
            <rFont val="Tahoma"/>
            <family val="2"/>
          </rPr>
          <t xml:space="preserve">One cycle accommodates 25 people i.e. 1/25=0.04 uses/person/day. Source: BD2683
The staff ratio (calculated in the retail calculator) is applied to the usage factor (above) to give the ratio presented here.
</t>
        </r>
      </text>
    </comment>
    <comment ref="AH46" authorId="0" shapeId="0" xr:uid="{00000000-0006-0000-0200-00006D010000}">
      <text>
        <r>
          <rPr>
            <sz val="8"/>
            <color indexed="81"/>
            <rFont val="Tahoma"/>
            <family val="2"/>
          </rPr>
          <t>Communities and Local Government Research to Assess the Costs and Benefits of Improvements to the Water Efficiency of New Non-household Buildings (BD2683) states a factor of 0.67 for offices in its example calculation.</t>
        </r>
      </text>
    </comment>
    <comment ref="C47" authorId="0" shapeId="0" xr:uid="{00000000-0006-0000-0200-00006E010000}">
      <text>
        <r>
          <rPr>
            <sz val="8"/>
            <color indexed="81"/>
            <rFont val="Tahoma"/>
            <family val="2"/>
          </rPr>
          <t>Note: this figure is use to calculated a default number of kitchen staff only.
An average restaurant has been modelled as having 25 employees serving 250 covers per day (Pacific Institute, 2003). For an office canteen/restaurant this figure is halved to 12.5 employees per 250 covers as it is assumed that office canteen/restaurants will not rely on a table service (as in a restaurant) and therefore will have less staff per cover as a result. Therefore, where there is a staff canteen/restaurant, the number of staff in that activity area is determined as follows:
An overall occupant density for seated dining areas of 0.331 persons/m2 is used (source: National Energy Calculation Methodology activity database) to determine the number of people seated in the dining area. A period of 11am-3pm is used as a default hours of use by the building's staff, whereby occupant density fluctuates respectively during those hours as follows: 0.25, 1.0, 1.0, 0.75 (source NCM activity database); resulting in an average occupant density of  0.248 covers/hr/m2.
This average multiplied by the 4 hour period gives a figure of 0.993 covers/m2. If there are 12.5 kitchen employees per 250 covers, then there are 0.05 employees/cover; therefore there are 0.0497 kitchen employees/m2 of seated dining area.</t>
        </r>
      </text>
    </comment>
    <comment ref="V47" authorId="0" shapeId="0" xr:uid="{00000000-0006-0000-0200-00006F010000}">
      <text>
        <r>
          <rPr>
            <sz val="8"/>
            <color indexed="81"/>
            <rFont val="Tahoma"/>
            <family val="2"/>
          </rPr>
          <t>It could be argued that there is likley to be a washing machine where there is a food preparation area, however, no data available for this component in this activity area. It is possible that it could be accounted for under the miscellaneous under food preparation (which is a fixed use).</t>
        </r>
      </text>
    </comment>
    <comment ref="Y47" authorId="0" shapeId="0" xr:uid="{00000000-0006-0000-0200-000070010000}">
      <text>
        <r>
          <rPr>
            <sz val="8"/>
            <color indexed="81"/>
            <rFont val="Tahoma"/>
            <family val="2"/>
          </rPr>
          <t>Units: litres/day
Fixed use for food preparation is based on a ‘standard’ restaurant. This ‘standard’ model gives details relating to a hotel with 25 staff serving 250 covers or meals per day, (source: BD2683 and sources contained therein), as follows:
0.33 kg of ice per meal
Food preparation sink: 113.4 litres (per day) / 250 covers = 0.4536 litres/cover
Food: 1.89 litres/cover
Total: 2.674 litres/cover
This figure is multiplied by 0.993 covers/m2 (see comment against occupant density for this building area for source of number) and the total area (m2) of the dining area to give the fixed use total here.
If there is no dining area, no figure is calculated.</t>
        </r>
      </text>
    </comment>
    <comment ref="Z47" authorId="0" shapeId="0" xr:uid="{00000000-0006-0000-0200-000071010000}">
      <text>
        <r>
          <rPr>
            <sz val="8"/>
            <color indexed="81"/>
            <rFont val="Arial"/>
            <family val="2"/>
          </rPr>
          <t>Units: litres/day
Fixed use for cleaning in a food preparation area is based on a ‘standard’ restaurant. This ‘standard’ model gives details relating to a hotel with 25 staff serving 250 covers or meals per day (Source: BD2683), as follows:
Pot and pan sink: 900 litres (3 x sinks filled with 150 litre capacity filled twice a day) / 250 covers = 3.6 litres/cover
Cleaning: 298.4 / 250 covers = 1.1936 litres/cover
Miscellaneous use: 378/250 = 1.52 litres/cover
Total: 6.314 litres/cover
This figure is multiplied by 0.993 covers/m2 (see comment against occupant density for this building area for source of number) and the total area (m2) of the dining area to give the fixed use total here.
If there is no dining area, no figure is calculated.</t>
        </r>
      </text>
    </comment>
    <comment ref="AI47" authorId="0" shapeId="0" xr:uid="{00000000-0006-0000-0200-000072010000}">
      <text>
        <r>
          <rPr>
            <b/>
            <sz val="8"/>
            <color indexed="81"/>
            <rFont val="Tahoma"/>
            <family val="2"/>
          </rPr>
          <t xml:space="preserve">Source: </t>
        </r>
        <r>
          <rPr>
            <sz val="8"/>
            <color indexed="81"/>
            <rFont val="Tahoma"/>
            <family val="2"/>
          </rPr>
          <t>washing up pre-rinse nozzles are used for 60 min per day (Pacific Institute, 2003; MWRA,1990)</t>
        </r>
        <r>
          <rPr>
            <sz val="8"/>
            <color indexed="81"/>
            <rFont val="Tahoma"/>
            <family val="2"/>
          </rPr>
          <t xml:space="preserve">
</t>
        </r>
      </text>
    </comment>
    <comment ref="AK47" authorId="0" shapeId="0" xr:uid="{00000000-0006-0000-0200-000073010000}">
      <text>
        <r>
          <rPr>
            <sz val="8"/>
            <color indexed="81"/>
            <rFont val="Tahoma"/>
            <family val="2"/>
          </rPr>
          <t>units: dishwasher cycle/m2
Communities and Local Government Research to Assess the Costs and Benefits of Improvements to the Water Efficiency of New Non-household Buildings (BD2683) states each customer produces half a dishwasher rack of washing up per visit. This is for standard restaurant use. For an office canteen, this has been halved again to one quarter rack per cover on the basis that only one course is served at lunchtime, so less crockery than for standard restaurant (where two or three courses are to be assumed).
An overall occupant density for seated dining areas of 0.331 persons/m2 is used (source: National Energy Calculation Methodology activity database) to determine the number of people seated in the restaurant. A period of 11am-3pm is used as a default hours of use by the building's staff, whereby occupant density fluctuates respectively during those hours as follows: 0.25, 1.0, 1.0, 0.75 (source NCM activity database); resulting in an average occupant density of  0.248 covers/hr/m2. This average multiplied by the 4 hour period gives a figure of 0.993 covers/m2/day.
Therefore: 0.993 covers/m2/day * 0.25 racks/cover = 0.248 cycles/m2 dining area/day</t>
        </r>
      </text>
    </comment>
    <comment ref="AM47" authorId="0" shapeId="0" xr:uid="{00000000-0006-0000-0200-000074010000}">
      <text>
        <r>
          <rPr>
            <b/>
            <sz val="8"/>
            <color indexed="81"/>
            <rFont val="Tahoma"/>
            <family val="2"/>
          </rPr>
          <t>Source:</t>
        </r>
        <r>
          <rPr>
            <sz val="8"/>
            <color indexed="81"/>
            <rFont val="Tahoma"/>
            <family val="2"/>
          </rPr>
          <t xml:space="preserve"> waste disposal devices run for 30 min per day (Pacific Institute, 2003; MWRA,1990)</t>
        </r>
        <r>
          <rPr>
            <sz val="8"/>
            <color indexed="81"/>
            <rFont val="Tahoma"/>
            <family val="2"/>
          </rPr>
          <t xml:space="preserve">
</t>
        </r>
      </text>
    </comment>
    <comment ref="C48" authorId="0" shapeId="0" xr:uid="{00000000-0006-0000-0200-000075010000}">
      <text>
        <r>
          <rPr>
            <sz val="8"/>
            <color indexed="81"/>
            <rFont val="Tahoma"/>
            <family val="2"/>
          </rPr>
          <t>Source: NCM activity database (11/08/10) for retail and financial/professional services.</t>
        </r>
      </text>
    </comment>
    <comment ref="C49" authorId="0" shapeId="0" xr:uid="{00000000-0006-0000-0200-000076010000}">
      <text>
        <r>
          <rPr>
            <sz val="8"/>
            <color indexed="81"/>
            <rFont val="Tahoma"/>
            <family val="2"/>
          </rPr>
          <t>Source: NCM activity database (11/08/10) for offices and workshop businesses.</t>
        </r>
      </text>
    </comment>
    <comment ref="V64" authorId="0" shapeId="0" xr:uid="{00000000-0006-0000-0200-000077010000}">
      <text>
        <r>
          <rPr>
            <b/>
            <sz val="8"/>
            <color indexed="81"/>
            <rFont val="Tahoma"/>
            <family val="2"/>
          </rPr>
          <t xml:space="preserve">Source: </t>
        </r>
        <r>
          <rPr>
            <sz val="8"/>
            <color indexed="81"/>
            <rFont val="Tahoma"/>
            <family val="2"/>
          </rPr>
          <t>Redlin and de Roos, 1990, in Pacific Institute, 2003</t>
        </r>
        <r>
          <rPr>
            <sz val="8"/>
            <color indexed="81"/>
            <rFont val="Tahoma"/>
            <family val="2"/>
          </rPr>
          <t xml:space="preserve">
</t>
        </r>
      </text>
    </comment>
    <comment ref="C65" authorId="0" shapeId="0" xr:uid="{00000000-0006-0000-0200-000078010000}">
      <text>
        <r>
          <rPr>
            <b/>
            <sz val="8"/>
            <color indexed="81"/>
            <rFont val="Tahoma"/>
            <family val="2"/>
          </rPr>
          <t>Source:</t>
        </r>
        <r>
          <rPr>
            <sz val="8"/>
            <color indexed="81"/>
            <rFont val="Tahoma"/>
            <family val="2"/>
          </rPr>
          <t xml:space="preserve"> Arup Economics and Planning, 2001 = one employee per two rooms, therefore, 0.5 employees per room</t>
        </r>
        <r>
          <rPr>
            <b/>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Bevan</author>
    <author>Bevan</author>
  </authors>
  <commentList>
    <comment ref="B28" authorId="0" shapeId="0" xr:uid="{00000000-0006-0000-0600-000001000000}">
      <text>
        <r>
          <rPr>
            <sz val="10"/>
            <color indexed="81"/>
            <rFont val="Tahoma"/>
            <family val="2"/>
          </rPr>
          <t>Includes standard automatic (timed) flush or infrared occupant sensing system linked to a cistern which flushes one or more urinal bowls.</t>
        </r>
        <r>
          <rPr>
            <sz val="8"/>
            <color indexed="81"/>
            <rFont val="Tahoma"/>
            <family val="2"/>
          </rPr>
          <t xml:space="preserve">
</t>
        </r>
      </text>
    </comment>
    <comment ref="F28" authorId="1" shapeId="0" xr:uid="{00000000-0006-0000-0600-000002000000}">
      <text>
        <r>
          <rPr>
            <sz val="10"/>
            <color indexed="81"/>
            <rFont val="Tahoma"/>
            <family val="2"/>
          </rPr>
          <t>Enter the number of times that the specified cistern will flush per hour (assuming the default period of operation for this building type, given above).
Where infrared sensing flushing control or some form of mechanical flush control is specified, the frequency must be based on the pre-set flushing frequency (confirmed by the design team or building's end user). 
Alternatively, the flush controllers factory default setting or a default figure necessary to maintain compliance with the Water Supply (Water Fittings) Regulations can be used, as follows: 
7.5 litres/hour/bowl where cistern serves two or more urinal bowls. Or
10 litres/hour/bowl where cistern serves only one urinal bowl.
Where urinals are likely to go longer than 30 minutes without flushing after use it should be confirmed that the urinals bowls are of a type designed for low flushing frequency. 
This is to avoid standard urinals being specified and the flushing frequency being set low to reduce water demand; this can cause hygienic problems and unnecessary maintenance (avoided through proper specification and system set-up).</t>
        </r>
      </text>
    </comment>
    <comment ref="B31" authorId="0" shapeId="0" xr:uid="{00000000-0006-0000-0600-000003000000}">
      <text>
        <r>
          <rPr>
            <sz val="10"/>
            <color indexed="81"/>
            <rFont val="Tahoma"/>
            <family val="2"/>
          </rPr>
          <t xml:space="preserve">i.e. bush button or infrared detection on each urinal bowl operated after use.
</t>
        </r>
      </text>
    </comment>
    <comment ref="D39" authorId="0" shapeId="0" xr:uid="{00000000-0006-0000-0600-000004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r>
          <rPr>
            <sz val="8"/>
            <color indexed="81"/>
            <rFont val="Tahoma"/>
            <family val="2"/>
          </rPr>
          <t xml:space="preserve">
</t>
        </r>
      </text>
    </comment>
    <comment ref="D40" authorId="0" shapeId="0" xr:uid="{00000000-0006-0000-0600-000005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r>
          <rPr>
            <sz val="10"/>
            <color indexed="81"/>
            <rFont val="Tahoma"/>
            <family val="2"/>
          </rPr>
          <t>Where a fitness/suite gym is specified, the default usage/person/day will adjust to account for shower use from this facility, this is in addition to the general default resulting from use of showers by cyclists.</t>
        </r>
      </text>
    </comment>
    <comment ref="D41" authorId="0" shapeId="0" xr:uid="{00000000-0006-0000-0600-000006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text>
    </comment>
    <comment ref="D42" authorId="0" shapeId="0" xr:uid="{00000000-0006-0000-0600-000007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text>
    </comment>
    <comment ref="D43" authorId="0" shapeId="0" xr:uid="{00000000-0006-0000-0600-000008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r>
          <rPr>
            <sz val="8"/>
            <color indexed="81"/>
            <rFont val="Tahoma"/>
            <family val="2"/>
          </rPr>
          <t xml:space="preserve">
</t>
        </r>
      </text>
    </comment>
    <comment ref="B44" authorId="0" shapeId="0" xr:uid="{00000000-0006-0000-0600-000009000000}">
      <text>
        <r>
          <rPr>
            <sz val="10"/>
            <color indexed="81"/>
            <rFont val="Tahoma"/>
            <family val="2"/>
          </rPr>
          <t xml:space="preserve">This fixed use is drinking water consumed by staff.
Where a fitness suite/gym is also present, an allowance is made for the additional water consumed resulting from the provision of this facility on a per person basis for the whole building (hence why the additional amount is minor, as not all staff will use the facility).
</t>
        </r>
      </text>
    </comment>
    <comment ref="B45" authorId="0" shapeId="0" xr:uid="{00000000-0006-0000-0600-00000A000000}">
      <text>
        <r>
          <rPr>
            <sz val="10"/>
            <color indexed="81"/>
            <rFont val="Tahoma"/>
            <family val="2"/>
          </rPr>
          <t>This accounts for water consumption, and therefore efficiency of components used for cleaning, e.g. utensils, crockery etc., in staff kitchenette areas.
If this activity area does not exist in the building, then do not enter data in the relevant cells.</t>
        </r>
      </text>
    </comment>
    <comment ref="D46" authorId="0" shapeId="0" xr:uid="{00000000-0006-0000-0600-00000B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text>
    </comment>
    <comment ref="D47" authorId="0" shapeId="0" xr:uid="{00000000-0006-0000-0600-00000C000000}">
      <text>
        <r>
          <rPr>
            <sz val="10"/>
            <color indexed="81"/>
            <rFont val="Tahoma"/>
            <family val="2"/>
          </rPr>
          <t xml:space="preserve">Dishwashers in staff kitchen area(s). Requires inclusion only where it is known that a dishwasher will be installed, as follows:
</t>
        </r>
        <r>
          <rPr>
            <b/>
            <sz val="10"/>
            <color indexed="81"/>
            <rFont val="Tahoma"/>
            <family val="2"/>
          </rPr>
          <t>Building end user/client known</t>
        </r>
        <r>
          <rPr>
            <sz val="10"/>
            <color indexed="81"/>
            <rFont val="Tahoma"/>
            <family val="2"/>
          </rPr>
          <t xml:space="preserve">: The stakeholder confirms whether this component will be installed, where this is the case they must confirm intended specification which is then entered in the calculation. Where installation is confirmed, but litres/cycle for the dishwasher is not known/confirmed, then assume a default of 17 litres/cycle setting for the purpose of the calculation.
</t>
        </r>
        <r>
          <rPr>
            <b/>
            <sz val="10"/>
            <color indexed="81"/>
            <rFont val="Tahoma"/>
            <family val="2"/>
          </rPr>
          <t>Building/end user not known</t>
        </r>
        <r>
          <rPr>
            <sz val="10"/>
            <color indexed="81"/>
            <rFont val="Tahoma"/>
            <family val="2"/>
          </rPr>
          <t>: The specification is determined on the basis of whether or not provision is made within the activity area for future installation i.e. dedicated fittings plumbed for water supply and waste extraction. Where this is the case, if a maximum allowable specification is not specified within a lease agreement (for a tenanted area), then assume a default of 17 litres/cycle for the purpose of the calculation. Where no provision is made for the future installation of this component type, then it can be assumed that it will not be specified (for BREEAM purposes) and a specification not entered within the calculation.</t>
        </r>
        <r>
          <rPr>
            <sz val="8"/>
            <color indexed="81"/>
            <rFont val="Tahoma"/>
            <family val="2"/>
          </rPr>
          <t xml:space="preserve">
</t>
        </r>
        <r>
          <rPr>
            <sz val="10"/>
            <color indexed="81"/>
            <rFont val="Tahoma"/>
            <family val="2"/>
          </rPr>
          <t xml:space="preserve">
Where manufacturers data specifies dishwasher water efficiency in litres/place setting, simply multiply this figure by the number of place settings the dishwasher is designed to accommodate per wash cycle to get the litres/cycle (water consumption) for the purpose of this calculation.</t>
        </r>
      </text>
    </comment>
    <comment ref="D49" authorId="0" shapeId="0" xr:uid="{00000000-0006-0000-0600-00000D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assumes the component will be used at this maximum given the type of use i.e. no adjustment is made as per wash hand basin taps.</t>
        </r>
      </text>
    </comment>
    <comment ref="D50" authorId="0" shapeId="0" xr:uid="{00000000-0006-0000-0600-00000E000000}">
      <text>
        <r>
          <rPr>
            <sz val="10"/>
            <color indexed="81"/>
            <rFont val="Tahoma"/>
            <family val="2"/>
          </rPr>
          <t>Usage factor for this component is based on a commercial dishwasher component. 
The default usage is set at quarter a rack of crockery per cover i.e. meal served. The number of covers is determined based on size of seated dining area.</t>
        </r>
      </text>
    </comment>
    <comment ref="G101" authorId="0" shapeId="0" xr:uid="{00000000-0006-0000-0600-00000F000000}">
      <text>
        <r>
          <rPr>
            <sz val="10"/>
            <color indexed="81"/>
            <rFont val="Tahoma"/>
            <family val="2"/>
          </rPr>
          <t xml:space="preserve">The focus of this BREEAM issue is the performance of the buildings permanent domestic water consuming components. Where a greywater or rainwater system is specified, the yield from the system should be prioritised for such uses i.e. WC/Urinal flushing. However, where the building demonstrates that it has other consistent (i.e. daily) and equivalent levels of non potable water demand, and such demands are intrinsic to the building’s operation, then it is permissible for the demand from these non domestic uses to be counted i.e. the demand for rainwater/greywater yield from such systems/components can be used as well as, or instead of non potable water demand from the buildings WC/Urinal components. 
Examples of consistent and equivalent demands could include laundry use in hotels/multi-residential developments or horticultural uses in garden centres, botanical gardens and golf courses. Demand for general landscaping and ornamental planting irrigation are not considered equivalent by BREEAM.
</t>
        </r>
      </text>
    </comment>
    <comment ref="G103" authorId="0" shapeId="0" xr:uid="{00000000-0006-0000-0600-000010000000}">
      <text>
        <r>
          <rPr>
            <sz val="10"/>
            <color indexed="81"/>
            <rFont val="Tahoma"/>
            <family val="2"/>
          </rPr>
          <t>Where other permissible components are the only components to demand greywater and/or rainwater yield then the figure here is equivalent to the total greywater and/or rainwater yield calculated using this methodology, but converted in to Litres/day from Litres/person/day. The conversion is to enable a comparison with the components actual/predicted water demand to determine the proportion of the yield that the component is likely to use.
Where other permissible components demand greywater and/or rainwater yield in addition to demand from WC and/or urinals, the figure here is the sum of the total rainwater and/or greywater yield  minus the demand from WC/urinal components. If the WC/urinal components already demand 100% of the yield then the figure here will be zero i.e. none of the yield is available to meet the other demand.
Note: Even though in reality the actual building's other permissible components may use greywater and/or rainwater yield, if the available yield (as calculated by this methodology, using a default occupancy rate) is less than or equal to the demand from the WC/urinal components, then 100% of the yield will be attributed to that demand leaving zero yield for other uses.</t>
        </r>
      </text>
    </comment>
    <comment ref="F120" authorId="0" shapeId="0" xr:uid="{00000000-0006-0000-0600-000011000000}">
      <text>
        <r>
          <rPr>
            <sz val="10"/>
            <color indexed="81"/>
            <rFont val="Tahoma"/>
            <family val="2"/>
          </rPr>
          <t xml:space="preserve">Where greywater and/or rainwater systems are specified there is a minimum level of component efficiency that must be achieved to award 4 or 5 BREEAM credits and the exemplary level credit. This is to avoid awarding a higher number of BREEAM credits where performance from less efficient fittings is off-set by the specification of a greywater and/or rainwater collection system. The intention being to ensure demand reduction is prioritised before off-setting consumption.
For the four and five BREEAM credit levels, where a greywater/rainwater system is specified/installed, the component specification must achieve a percentage reduction in water consumption (over the baseline specification) equivalent to that required for 2 credits i.e. a 25% improvement. 
Where this level is achieved, all of the total water demand met by greywater/rainwater sources can contribute to the overall percentage improvement required to achieve BREEAM credits. If it is not achieved, the percentage of greywater/rainwater allowable will be equivalent to the percentage improvement in water consumption achieved for the component specification (i.e. percentage improvement on the baseline specification). For example, if only a 20% improvement is achieved, and therefore the building is not meeting the 25% requirement, then only 20% of the water demand met via greywater/rainwater sources can be used to off-set water consumption from the microcomponents. 
This minimum requirement does not apply where only 1, 2 or 3 credits are sought or where no greywater/rainwater system is specified i.e. percentage improvement is based solely on the water efficiency of the microcomponent specification. Where this is the case, this box will state either "Not applicable" or "System not specified".
</t>
        </r>
      </text>
    </comment>
    <comment ref="O137" authorId="0" shapeId="0" xr:uid="{00000000-0006-0000-0600-000012000000}">
      <text>
        <r>
          <rPr>
            <sz val="8"/>
            <color indexed="81"/>
            <rFont val="Tahoma"/>
            <family val="2"/>
          </rPr>
          <t>See activity database note for reason why this is zero</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Tim Bevan</author>
    <author>Bevan</author>
  </authors>
  <commentList>
    <comment ref="B34" authorId="0" shapeId="0" xr:uid="{00000000-0006-0000-0700-000001000000}">
      <text>
        <r>
          <rPr>
            <sz val="10"/>
            <color indexed="81"/>
            <rFont val="Tahoma"/>
            <family val="2"/>
          </rPr>
          <t>Includes standard automatic (timed) flush or infrared occupant sensing system linked to a cistern which flushes one or more urinal bowls.</t>
        </r>
        <r>
          <rPr>
            <sz val="8"/>
            <color indexed="81"/>
            <rFont val="Tahoma"/>
            <family val="2"/>
          </rPr>
          <t xml:space="preserve">
</t>
        </r>
      </text>
    </comment>
    <comment ref="F34" authorId="1" shapeId="0" xr:uid="{00000000-0006-0000-0700-000002000000}">
      <text>
        <r>
          <rPr>
            <sz val="10"/>
            <color indexed="81"/>
            <rFont val="Tahoma"/>
            <family val="2"/>
          </rPr>
          <t>Enter the number of times that the specified cistern will flush per hour (assuming the default period of operation for this building type, given above).
Where infrared sensing flushing control or some form of mechanical flush control is specified, the frequency must be based on the pre-set flushing frequency (confirmed by the design team or building's end user). 
Alternatively, the flush controllers factory default setting or a default figure necessary to maintain compliance with the Water Supply (Water Fittings) Regulations can be used, as follows: 
7.5 litres/hour/bowl where cistern serves two or more urinal bowls. Or
10 litres/hour/bowl where cistern serves only one urinal bowl.
Where urinals are likely to go longer than 30 minutes without flushing after use it should be confirmed that the urinals bowls are of a type designed for low flushing frequency. 
This is to avoid standard urinals being specified and the flushing frequency being set low to reduce water demand; this can cause hygienic problems and unnecessary maintenance (avoided through proper specification and system set-up).</t>
        </r>
      </text>
    </comment>
    <comment ref="B37" authorId="0" shapeId="0" xr:uid="{00000000-0006-0000-0700-000003000000}">
      <text>
        <r>
          <rPr>
            <sz val="10"/>
            <color indexed="81"/>
            <rFont val="Tahoma"/>
            <family val="2"/>
          </rPr>
          <t xml:space="preserve">i.e. bush button or infrared detection on each urinal bowl operated after use.
</t>
        </r>
      </text>
    </comment>
    <comment ref="D45" authorId="0" shapeId="0" xr:uid="{00000000-0006-0000-0700-000004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r>
          <rPr>
            <sz val="8"/>
            <color indexed="81"/>
            <rFont val="Tahoma"/>
            <family val="2"/>
          </rPr>
          <t xml:space="preserve">
</t>
        </r>
      </text>
    </comment>
    <comment ref="D46" authorId="0" shapeId="0" xr:uid="{00000000-0006-0000-0700-000005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r>
          <rPr>
            <sz val="10"/>
            <color indexed="81"/>
            <rFont val="Tahoma"/>
            <family val="2"/>
          </rPr>
          <t>Where a fitness/suite gym is specified, the default usage/person/day will adjust to account for shower use from this facility, this is in addition to the general default resulting from use of showers by cyclists.</t>
        </r>
      </text>
    </comment>
    <comment ref="D47" authorId="0" shapeId="0" xr:uid="{00000000-0006-0000-0700-000006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text>
    </comment>
    <comment ref="D48" authorId="0" shapeId="0" xr:uid="{00000000-0006-0000-0700-000007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text>
    </comment>
    <comment ref="D49" authorId="0" shapeId="0" xr:uid="{00000000-0006-0000-0700-000008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r>
          <rPr>
            <sz val="8"/>
            <color indexed="81"/>
            <rFont val="Tahoma"/>
            <family val="2"/>
          </rPr>
          <t xml:space="preserve">
</t>
        </r>
      </text>
    </comment>
    <comment ref="B50" authorId="0" shapeId="0" xr:uid="{00000000-0006-0000-0700-000009000000}">
      <text>
        <r>
          <rPr>
            <sz val="10"/>
            <color indexed="81"/>
            <rFont val="Tahoma"/>
            <family val="2"/>
          </rPr>
          <t>Only includes the fixed use consumed by staff, though the overall figure is litre/person/day, so is the consumption is divided by total number of building users (staff and customers).
This total is fixed for both the actual specification and the standard specification, therefore the consumption from this use does not influence the achievement of BREEAM credits. It is included simply to give a more accurate reflection of the total water consumption for the building.</t>
        </r>
      </text>
    </comment>
    <comment ref="B51" authorId="0" shapeId="0" xr:uid="{00000000-0006-0000-0700-00000A000000}">
      <text>
        <r>
          <rPr>
            <sz val="10"/>
            <color indexed="81"/>
            <rFont val="Tahoma"/>
            <family val="2"/>
          </rPr>
          <t>This accounts for water consumption, and therefore efficiency of components used for cleaning, e.g. utensils, crockery etc., in staff kitchenette areas.
If this activity area does not exist in the building, then do not enter data in the relevant cells.</t>
        </r>
      </text>
    </comment>
    <comment ref="D52" authorId="0" shapeId="0" xr:uid="{00000000-0006-0000-0700-00000B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text>
    </comment>
    <comment ref="D53" authorId="0" shapeId="0" xr:uid="{00000000-0006-0000-0700-00000C000000}">
      <text>
        <r>
          <rPr>
            <sz val="10"/>
            <color indexed="81"/>
            <rFont val="Tahoma"/>
            <family val="2"/>
          </rPr>
          <t xml:space="preserve">Dishwashers in staff kitchen area(s). Requires inclusion only where it is known that a dishwasher will be installed, as follows:
</t>
        </r>
        <r>
          <rPr>
            <b/>
            <sz val="10"/>
            <color indexed="81"/>
            <rFont val="Tahoma"/>
            <family val="2"/>
          </rPr>
          <t>Building end user/client known</t>
        </r>
        <r>
          <rPr>
            <sz val="10"/>
            <color indexed="81"/>
            <rFont val="Tahoma"/>
            <family val="2"/>
          </rPr>
          <t xml:space="preserve">: The stakeholder confirms whether this component will be installed, where this is the case they must confirm intended specification which is then entered in the calculation. Where installation is confirmed, but litres/cycle for the dishwasher is not known/confirmed, then assume a default of 17 litres/cycle setting for the purpose of the calculation.
</t>
        </r>
        <r>
          <rPr>
            <b/>
            <sz val="10"/>
            <color indexed="81"/>
            <rFont val="Tahoma"/>
            <family val="2"/>
          </rPr>
          <t>Building/end user not known</t>
        </r>
        <r>
          <rPr>
            <sz val="10"/>
            <color indexed="81"/>
            <rFont val="Tahoma"/>
            <family val="2"/>
          </rPr>
          <t>: The specification is determined on the basis of whether or not provision is made within the activity area for future installation i.e. dedicated fittings plumbed for water supply and waste extraction. Where this is the case, if a maximum allowable specification is not specified within a lease agreement (for a tenanted area), then assume a default of 17 litres/cycle for the purpose of the calculation. Where no provision is made for the future installation of this component type, then it can be assumed that it will not be specified (for BREEAM purposes) and a specification not entered within the calculation.</t>
        </r>
        <r>
          <rPr>
            <sz val="8"/>
            <color indexed="81"/>
            <rFont val="Tahoma"/>
            <family val="2"/>
          </rPr>
          <t xml:space="preserve">
</t>
        </r>
        <r>
          <rPr>
            <sz val="10"/>
            <color indexed="81"/>
            <rFont val="Tahoma"/>
            <family val="2"/>
          </rPr>
          <t xml:space="preserve">
Where manufacturers data specifies dishwasher water efficiency in litres/place setting, simply multiply this figure by the number of place settings the dishwasher is designed to accommodate per wash cycle to get the litres/cycle (water consumption) for the purpose of this calculation.</t>
        </r>
      </text>
    </comment>
    <comment ref="D55" authorId="0" shapeId="0" xr:uid="{00000000-0006-0000-0700-00000D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assumes the component will be used at this maximum given the type of use i.e. no adjustment is made as per wash hand basin taps.</t>
        </r>
      </text>
    </comment>
    <comment ref="D56" authorId="0" shapeId="0" xr:uid="{00000000-0006-0000-0700-00000E000000}">
      <text>
        <r>
          <rPr>
            <sz val="10"/>
            <color indexed="81"/>
            <rFont val="Tahoma"/>
            <family val="2"/>
          </rPr>
          <t>Usage factor for this component is based on a commercial dishwasher component. 
The default usage is set at quarter a rack of crockery per cover i.e. meal served. The number of covers is determined based on size of seated dining area.</t>
        </r>
      </text>
    </comment>
    <comment ref="G107" authorId="0" shapeId="0" xr:uid="{00000000-0006-0000-0700-00000F000000}">
      <text>
        <r>
          <rPr>
            <sz val="10"/>
            <color indexed="81"/>
            <rFont val="Tahoma"/>
            <family val="2"/>
          </rPr>
          <t xml:space="preserve">The focus of this BREEAM issue is the performance of the buildings permanent domestic water consuming components. Where a greywater or rainwater system is specified, the yield from the system should be prioritised for such uses i.e. WC/Urinal flushing. However, where the building demonstrates that it has other consistent (i.e. daily) and equivalent levels of non potable water demand, and such demands are intrinsic to the building’s operation, then it is permissible for the demand from these non domestic uses to be counted i.e. the demand for rainwater/greywater yield from such systems/components can be used as well as, or instead of non potable water demand from the buildings WC/Urinal components. 
Examples of consistent and equivalent demands could include laundry use in hotels/multi-residential developments or horticultural uses in garden centres, botanical gardens and golf courses. Demand for general landscaping and ornamental planting irrigation are not considered equivalent by BREEAM.
</t>
        </r>
      </text>
    </comment>
    <comment ref="G109" authorId="0" shapeId="0" xr:uid="{00000000-0006-0000-0700-000010000000}">
      <text>
        <r>
          <rPr>
            <sz val="10"/>
            <color indexed="81"/>
            <rFont val="Tahoma"/>
            <family val="2"/>
          </rPr>
          <t>Where other permissible components are the only components to demand greywater and/or rainwater yield then the figure here is equivalent to the total greywater and/or rainwater yield calculated using this methodology, but converted in to Litres/day from Litres/person/day. The conversion is to enable a comparison with the components actual/predicted water demand to determine the proportion of the yield that the component is likely to use.
Where other permissible components demand greywater and/or rainwater yield in addition to demand from WC and/or urinals, the figure here is the sum of the total rainwater and/or greywater yield  minus the demand from WC/urinal components. If the WC/urinal components already demand 100% of the yield then the figure here will be zero i.e. none of the yield is available to meet the other demand.
Note: Even though in reality the actual building's other permissible components may use greywater and/or rainwater yield, if the available yield (as calculated by this methodology, using a default occupancy rate) is less than or equal to the demand from the WC/urinal components, then 100% of the yield will be attributed to that demand leaving zero yield for other uses.</t>
        </r>
      </text>
    </comment>
    <comment ref="F126" authorId="0" shapeId="0" xr:uid="{00000000-0006-0000-0700-000011000000}">
      <text>
        <r>
          <rPr>
            <sz val="10"/>
            <color indexed="81"/>
            <rFont val="Tahoma"/>
            <family val="2"/>
          </rPr>
          <t xml:space="preserve">Where greywater and/or rainwater systems are specified there is a minimum level of component efficiency that must be achieved to award 4 or 5 BREEAM credits and the exemplary level credit. This is to avoid awarding a higher number of BREEAM credits where performance from less efficient fittings is off-set by the specification of a greywater and/or rainwater collection system. The intention being to ensure demand reduction is prioritised before off-setting consumption.
For the four and five BREEAM credit levels, where a greywater/rainwater system is specified/installed, the component specification must achieve a percentage reduction in water consumption (over the baseline specification) equivalent to that required for 2 credits i.e. a 25% improvement. 
Where this level is achieved, all of the total water demand met by greywater/rainwater sources can contribute to the overall percentage improvement required to achieve BREEAM credits. If it is not achieved, the percentage of greywater/rainwater allowable will be equivalent to the percentage improvement in water consumption achieved for the component specification (i.e. percentage improvement on the baseline specification). For example, if only a 20% improvement is achieved, and therefore the building is not meeting the 25% requirement, then only 20% of the water demand met via greywater/rainwater sources can be used to off-set water consumption from the microcomponents. 
This minimum requirement does not apply where only 1, 2 or 3 credits are sought or where no greywater/rainwater system is specified i.e. percentage improvement is based solely on the water efficiency of the microcomponent specification. Where this is the case, this box will state either "Not applicable" or "System not specified".
</t>
        </r>
      </text>
    </comment>
    <comment ref="P132" authorId="0" shapeId="0" xr:uid="{00000000-0006-0000-0700-000012000000}">
      <text>
        <r>
          <rPr>
            <sz val="8"/>
            <color indexed="81"/>
            <rFont val="Tahoma"/>
            <family val="2"/>
          </rPr>
          <t>See comment in activity database under occupant density for this building area for explanation of how this figure is calculated.</t>
        </r>
      </text>
    </comment>
    <comment ref="P133" authorId="0" shapeId="0" xr:uid="{00000000-0006-0000-0700-000013000000}">
      <text>
        <r>
          <rPr>
            <sz val="8"/>
            <color indexed="81"/>
            <rFont val="Tahoma"/>
            <family val="2"/>
          </rPr>
          <t>See comment in activity database under occupant density for this building area for explanation of how this figure is calculated.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Tim Bevan</author>
    <author>Bevan</author>
  </authors>
  <commentList>
    <comment ref="B31" authorId="0" shapeId="0" xr:uid="{00000000-0006-0000-0800-000001000000}">
      <text>
        <r>
          <rPr>
            <sz val="10"/>
            <color indexed="81"/>
            <rFont val="Tahoma"/>
            <family val="2"/>
          </rPr>
          <t>Includes standard automatic (timed) flush or infrared occupant sensing system linked to a cistern which flushes one or more urinal bowls.</t>
        </r>
      </text>
    </comment>
    <comment ref="F31" authorId="1" shapeId="0" xr:uid="{00000000-0006-0000-0800-000002000000}">
      <text>
        <r>
          <rPr>
            <sz val="10"/>
            <color indexed="81"/>
            <rFont val="Tahoma"/>
            <family val="2"/>
          </rPr>
          <t>Enter the number of times that the specified cistern will flush per hour (assuming the default period of operation for this building type, given above).
Where infrared sensing flushing control or some form of mechanical flush control is specified, the frequency must be based on the pre-set flushing frequency (confirmed by the design team or building's end user). 
Alternatively, the flush controllers factory default setting or a default figure necessary to maintain compliance with the Water Supply (Water Fittings) Regulations can be used, as follows: 
7.5 litres/hour/bowl where cistern serves two or more urinal bowls. Or
10 litres/hour/bowl where cistern serves only one urinal bowl.
Where urinals are likely to go longer than 30 minutes without flushing after use it should be confirmed that the urinals bowls are of a type designed for low flushing frequency. 
This is to avoid standard urinals being specified and the flushing frequency being set low to reduce water demand; this can cause hygienic problems and unnecessary maintenance (avoided through proper specification and system set-up).</t>
        </r>
      </text>
    </comment>
    <comment ref="B34" authorId="0" shapeId="0" xr:uid="{00000000-0006-0000-0800-000003000000}">
      <text>
        <r>
          <rPr>
            <sz val="10"/>
            <color indexed="81"/>
            <rFont val="Tahoma"/>
            <family val="2"/>
          </rPr>
          <t xml:space="preserve">i.e. bush button or infrared detection on each urinal bowl operated after use.
</t>
        </r>
      </text>
    </comment>
    <comment ref="D42" authorId="0" shapeId="0" xr:uid="{00000000-0006-0000-0800-000004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r>
          <rPr>
            <sz val="8"/>
            <color indexed="81"/>
            <rFont val="Tahoma"/>
            <family val="2"/>
          </rPr>
          <t xml:space="preserve">
</t>
        </r>
      </text>
    </comment>
    <comment ref="D43" authorId="0" shapeId="0" xr:uid="{00000000-0006-0000-0800-000005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r>
          <rPr>
            <sz val="10"/>
            <color indexed="81"/>
            <rFont val="Tahoma"/>
            <family val="2"/>
          </rPr>
          <t>Where a fitness/suite gym is specified, the default usage/person/day will adjust to account for shower use from this facility, this is in addition to the general default resulting from use of showers by cyclists.</t>
        </r>
      </text>
    </comment>
    <comment ref="D44" authorId="0" shapeId="0" xr:uid="{00000000-0006-0000-0800-000006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text>
    </comment>
    <comment ref="D45" authorId="0" shapeId="0" xr:uid="{00000000-0006-0000-0800-000007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text>
    </comment>
    <comment ref="D46" authorId="0" shapeId="0" xr:uid="{00000000-0006-0000-0800-000008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r>
          <rPr>
            <sz val="8"/>
            <color indexed="81"/>
            <rFont val="Tahoma"/>
            <family val="2"/>
          </rPr>
          <t xml:space="preserve">
</t>
        </r>
      </text>
    </comment>
    <comment ref="B47" authorId="0" shapeId="0" xr:uid="{00000000-0006-0000-0800-000009000000}">
      <text>
        <r>
          <rPr>
            <sz val="10"/>
            <color indexed="81"/>
            <rFont val="Tahoma"/>
            <family val="2"/>
          </rPr>
          <t>This fixed use is drinking water consumed by staff.
Where a fitness suite/gym is also present, an allowance is made for the additional water consumed resulting from the provision of this facility on a per person basis for the whole building (hence why the additional amount is minor, as not all staff will use the facility).
This total is fixed for both the actual specification and the standard specification, therefore the consumption from this use does not influence the achievement of BREEAM credits. It is included simply to give a more accurate reflection of the total water consumption for the building.</t>
        </r>
      </text>
    </comment>
    <comment ref="B48" authorId="0" shapeId="0" xr:uid="{00000000-0006-0000-0800-00000A000000}">
      <text>
        <r>
          <rPr>
            <sz val="10"/>
            <color indexed="81"/>
            <rFont val="Tahoma"/>
            <family val="2"/>
          </rPr>
          <t>This accounts for water consumption, and therefore efficiency of components used for cleaning, e.g. utensils, crockery etc., in staff kitchenette areas.
If this activity area does not exist in the building, then do not enter data in the relevant cells.</t>
        </r>
      </text>
    </comment>
    <comment ref="D49" authorId="0" shapeId="0" xr:uid="{00000000-0006-0000-0800-00000B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text>
    </comment>
    <comment ref="D50" authorId="0" shapeId="0" xr:uid="{00000000-0006-0000-0800-00000C000000}">
      <text>
        <r>
          <rPr>
            <sz val="10"/>
            <color indexed="81"/>
            <rFont val="Tahoma"/>
            <family val="2"/>
          </rPr>
          <t xml:space="preserve">Dishwashers in staff kitchen area(s). Requires inclusion only where it is known that a dishwasher will be installed, as follows:
</t>
        </r>
        <r>
          <rPr>
            <b/>
            <sz val="10"/>
            <color indexed="81"/>
            <rFont val="Tahoma"/>
            <family val="2"/>
          </rPr>
          <t>Building end user/client known</t>
        </r>
        <r>
          <rPr>
            <sz val="10"/>
            <color indexed="81"/>
            <rFont val="Tahoma"/>
            <family val="2"/>
          </rPr>
          <t xml:space="preserve">: The stakeholder confirms whether this component will be installed, where this is the case they must confirm intended specification which is then entered in the calculation. Where installation is confirmed, but litres/cycle for the dishwasher is not known/confirmed, then assume a default of 17 litres/cycle setting for the purpose of the calculation.
</t>
        </r>
        <r>
          <rPr>
            <b/>
            <sz val="10"/>
            <color indexed="81"/>
            <rFont val="Tahoma"/>
            <family val="2"/>
          </rPr>
          <t>Building/end user not known</t>
        </r>
        <r>
          <rPr>
            <sz val="10"/>
            <color indexed="81"/>
            <rFont val="Tahoma"/>
            <family val="2"/>
          </rPr>
          <t>: The specification is determined on the basis of whether or not provision is made within the activity area for future installation i.e. dedicated fittings plumbed for water supply and waste extraction. Where this is the case, if a maximum allowable specification is not specified within a lease agreement (for a tenanted area), then assume a default of 17 litres/cycle for the purpose of the calculation. Where no provision is made for the future installation of this component type, then it can be assumed that it will not be specified (for BREEAM purposes) and a specification not entered within the calculation.</t>
        </r>
        <r>
          <rPr>
            <sz val="8"/>
            <color indexed="81"/>
            <rFont val="Tahoma"/>
            <family val="2"/>
          </rPr>
          <t xml:space="preserve">
</t>
        </r>
        <r>
          <rPr>
            <sz val="10"/>
            <color indexed="81"/>
            <rFont val="Tahoma"/>
            <family val="2"/>
          </rPr>
          <t xml:space="preserve">
Where manufacturers data specifies dishwasher water efficiency in litres/place setting, simply multiply this figure by the number of place settings the dishwasher is designed to accommodate per wash cycle to get the litres/cycle (water consumption) for the purpose of this calculation.</t>
        </r>
      </text>
    </comment>
    <comment ref="D52" authorId="0" shapeId="0" xr:uid="{00000000-0006-0000-0800-00000D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assumes the component will be used at this maximum given the type of use i.e. no adjustment is made as per wash hand basin taps.</t>
        </r>
      </text>
    </comment>
    <comment ref="D53" authorId="0" shapeId="0" xr:uid="{00000000-0006-0000-0800-00000E000000}">
      <text>
        <r>
          <rPr>
            <sz val="10"/>
            <color indexed="81"/>
            <rFont val="Tahoma"/>
            <family val="2"/>
          </rPr>
          <t>Usage factor for this component is based on a commercial dishwasher component. 
The default usage is set at quarter a rack of crockery per cover i.e. meal served. The number of covers is determined based on size of seated dining area.</t>
        </r>
      </text>
    </comment>
    <comment ref="G104" authorId="0" shapeId="0" xr:uid="{00000000-0006-0000-0800-00000F000000}">
      <text>
        <r>
          <rPr>
            <sz val="10"/>
            <color indexed="81"/>
            <rFont val="Tahoma"/>
            <family val="2"/>
          </rPr>
          <t xml:space="preserve">The focus of this BREEAM issue is the performance of the buildings permanent domestic water consuming components. Where a greywater or rainwater system is specified, the yield from the system should be prioritised for such uses i.e. WC/Urinal flushing. However, where the building demonstrates that it has other consistent (i.e. daily) and equivalent levels of non potable water demand, and such demands are intrinsic to the building’s operation, then it is permissible for the demand from these non domestic uses to be counted i.e. the demand for rainwater/greywater yield from such systems/components can be used as well as, or instead of non potable water demand from the buildings WC/Urinal components. 
Examples of consistent and equivalent demands could include laundry use in hotels/multi-residential developments or horticultural uses in garden centres, botanical gardens and golf courses. Demand for general landscaping and ornamental planting irrigation are not considered equivalent by BREEAM.
</t>
        </r>
      </text>
    </comment>
    <comment ref="G106" authorId="0" shapeId="0" xr:uid="{00000000-0006-0000-0800-000010000000}">
      <text>
        <r>
          <rPr>
            <sz val="10"/>
            <color indexed="81"/>
            <rFont val="Tahoma"/>
            <family val="2"/>
          </rPr>
          <t>Where other permissible components are the only components to demand greywater and/or rainwater yield then the figure here is equivalent to the total greywater and/or rainwater yield calculated using this methodology, but converted in to Litres/day from Litres/person/day. The conversion is to enable a comparison with the components actual/predicted water demand to determine the proportion of the yield that the component is likely to use.
Where other permissible components demand greywater and/or rainwater yield in addition to demand from WC and/or urinals, the figure here is the sum of the total rainwater and/or greywater yield  minus the demand from WC/urinal components. If the WC/urinal components already demand 100% of the yield then the figure here will be zero i.e. none of the yield is available to meet the other demand.
Note: Even though in reality the actual building's other permissible components may use greywater and/or rainwater yield, if the available yield (as calculated by this methodology, using a default occupancy rate) is less than or equal to the demand from the WC/urinal components, then 100% of the yield will be attributed to that demand leaving zero yield for other uses.</t>
        </r>
      </text>
    </comment>
    <comment ref="F123" authorId="0" shapeId="0" xr:uid="{00000000-0006-0000-0800-000011000000}">
      <text>
        <r>
          <rPr>
            <sz val="10"/>
            <color indexed="81"/>
            <rFont val="Tahoma"/>
            <family val="2"/>
          </rPr>
          <t xml:space="preserve">Where greywater and/or rainwater systems are specified there is a minimum level of component efficiency that must be achieved to award 4 or 5 BREEAM credits and the exemplary level credit. This is to avoid awarding a higher number of BREEAM credits where performance from less efficient fittings is off-set by the specification of a greywater and/or rainwater collection system. The intention being to ensure demand reduction is prioritised before off-setting consumption.
For the four and five BREEAM credit levels, where a greywater/rainwater system is specified/installed, the component specification must achieve a percentage reduction in water consumption (over the baseline specification) equivalent to that required for 2 credits i.e. a 25% improvement. 
Where this level is achieved, all of the total water demand met by greywater/rainwater sources can contribute to the overall percentage improvement required to achieve BREEAM credits. If it is not achieved, the percentage of greywater/rainwater allowable will be equivalent to the percentage improvement in water consumption achieved for the component specification (i.e. percentage improvement on the baseline specification). For example, if only a 20% improvement is achieved, and therefore the building is not meeting the 25% requirement, then only 20% of the water demand met via greywater/rainwater sources can be used to off-set water consumption from the microcomponents. 
This minimum requirement does not apply where only 1, 2 or 3 credits are sought or where no greywater/rainwater system is specified i.e. percentage improvement is based solely on the water efficiency of the microcomponent specification. Where this is the case, this box will state either "Not applicable" or "System not specified".
</t>
        </r>
      </text>
    </comment>
    <comment ref="O136" authorId="0" shapeId="0" xr:uid="{00000000-0006-0000-0800-000012000000}">
      <text>
        <r>
          <rPr>
            <sz val="8"/>
            <color indexed="81"/>
            <rFont val="Tahoma"/>
            <family val="2"/>
          </rPr>
          <t>See activity database note for reason why this is zero</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Tim Bevan</author>
    <author>Bevan</author>
  </authors>
  <commentList>
    <comment ref="B34" authorId="0" shapeId="0" xr:uid="{00000000-0006-0000-0900-000001000000}">
      <text>
        <r>
          <rPr>
            <sz val="10"/>
            <color indexed="81"/>
            <rFont val="Tahoma"/>
            <family val="2"/>
          </rPr>
          <t>Includes standard automatic (timed) flush or infrared occupant sensing system linked to a cistern which flushes one or more urinal bowls.</t>
        </r>
        <r>
          <rPr>
            <sz val="8"/>
            <color indexed="81"/>
            <rFont val="Tahoma"/>
            <family val="2"/>
          </rPr>
          <t xml:space="preserve">
</t>
        </r>
      </text>
    </comment>
    <comment ref="F34" authorId="1" shapeId="0" xr:uid="{00000000-0006-0000-0900-000002000000}">
      <text>
        <r>
          <rPr>
            <sz val="10"/>
            <color indexed="81"/>
            <rFont val="Tahoma"/>
            <family val="2"/>
          </rPr>
          <t>Enter the number of times that the specified cistern will flush per hour (assuming the default period of operation for this building type, given above).
Where infrared sensing flushing control or some form of mechanical flush control is specified, the frequency must be based on the pre-set flushing frequency (confirmed by the design team or building's end user). 
Alternatively, the flush controllers factory default setting or a default figure necessary to maintain compliance with the Water Supply (Water Fittings) Regulations can be used, as follows: 
7.5 litres/hour/bowl where cistern serves two or more urinal bowls. Or
10 litres/hour/bowl where cistern serves only one urinal bowl.
Where urinals are likely to go longer than 30 minutes without flushing after use it should be confirmed that the urinals bowls are of a type designed for low flushing frequency. 
This is to avoid standard urinals being specified and the flushing frequency being set low to reduce water demand; this can cause hygienic problems and unnecessary maintenance (avoided through proper specification and system set-up).</t>
        </r>
      </text>
    </comment>
    <comment ref="B37" authorId="0" shapeId="0" xr:uid="{00000000-0006-0000-0900-000003000000}">
      <text>
        <r>
          <rPr>
            <sz val="10"/>
            <color indexed="81"/>
            <rFont val="Tahoma"/>
            <family val="2"/>
          </rPr>
          <t xml:space="preserve">i.e. bush button or infrared detection on each urinal bowl operated after use.
</t>
        </r>
      </text>
    </comment>
    <comment ref="D45" authorId="0" shapeId="0" xr:uid="{00000000-0006-0000-0900-000004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r>
          <rPr>
            <sz val="8"/>
            <color indexed="81"/>
            <rFont val="Tahoma"/>
            <family val="2"/>
          </rPr>
          <t xml:space="preserve">
</t>
        </r>
      </text>
    </comment>
    <comment ref="D46" authorId="0" shapeId="0" xr:uid="{00000000-0006-0000-0900-000005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r>
          <rPr>
            <sz val="10"/>
            <color indexed="81"/>
            <rFont val="Tahoma"/>
            <family val="2"/>
          </rPr>
          <t>Where a fitness/suite gym is specified, the default usage/person/day will adjust to account for shower use from this facility, this is in addition to the general default resulting from use of showers by cyclists.</t>
        </r>
      </text>
    </comment>
    <comment ref="D47" authorId="0" shapeId="0" xr:uid="{00000000-0006-0000-0900-000006000000}">
      <text>
        <r>
          <rPr>
            <sz val="10"/>
            <color indexed="81"/>
            <rFont val="Tahoma"/>
            <family val="2"/>
          </rPr>
          <t>Enter the flow rate of the shower at the outlet using cold water (T ≤ 30˚ C), in litres per minute measured at a dynamic pressure of 3±0.2 bar (0.3±0.02 MPa) for high pressure (Type 1) supply systems, or at a dynamic pressure of 0.1±0.05 bar (0.01±0.005 MPa) for low pressure (Type 2) supply systems (BS EN 1112:2008, Sanitary tapware. Shower outlets for sanitary tapware for water supply systems type 1 and 2. General technical specifications).Kitchen taps (maximum flow rate litres/min).
Where a shower head delivers a range of flow rates, the average or typical flow rate should be used.</t>
        </r>
        <r>
          <rPr>
            <sz val="8"/>
            <color indexed="81"/>
            <rFont val="Tahoma"/>
            <family val="2"/>
          </rPr>
          <t xml:space="preserve">
</t>
        </r>
      </text>
    </comment>
    <comment ref="D48" authorId="0" shapeId="0" xr:uid="{00000000-0006-0000-0900-000007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text>
    </comment>
    <comment ref="D49" authorId="0" shapeId="0" xr:uid="{00000000-0006-0000-0900-000008000000}">
      <text>
        <r>
          <rPr>
            <sz val="10"/>
            <color indexed="81"/>
            <rFont val="Tahoma"/>
            <family val="2"/>
          </rPr>
          <t>Enter the bath capacity to overflow. The calculation will use 40% of this volume for consumption. This is to reflect that a) users tend not to fill the bath to overflow and b) the buoyancy affect the user has on the actual volume of water required for a bath.</t>
        </r>
        <r>
          <rPr>
            <sz val="8"/>
            <color indexed="81"/>
            <rFont val="Tahoma"/>
            <family val="2"/>
          </rPr>
          <t xml:space="preserve">
</t>
        </r>
      </text>
    </comment>
    <comment ref="B50" authorId="0" shapeId="0" xr:uid="{00000000-0006-0000-0900-000009000000}">
      <text>
        <r>
          <rPr>
            <sz val="10"/>
            <color indexed="81"/>
            <rFont val="Tahoma"/>
            <family val="2"/>
          </rPr>
          <t>This fixed use is drinking water consumed by staff.
Where a sports facility is also present, an allowance is made for the additional water consumed resulting from the provision of this facility on a per person basis for the whole building.
This total is fixed for both the actual specification and the standard specification, therefore the consumption from this use does not influence the achievement of BREEAM credits. It is included simply to give a more accurate reflection of the total water consumption for the building.</t>
        </r>
      </text>
    </comment>
    <comment ref="B51" authorId="0" shapeId="0" xr:uid="{00000000-0006-0000-0900-00000A000000}">
      <text>
        <r>
          <rPr>
            <sz val="10"/>
            <color indexed="81"/>
            <rFont val="Tahoma"/>
            <family val="2"/>
          </rPr>
          <t>This accounts for water consumption, and therefore efficiency of components used for cleaning, e.g. utensils, crockery etc., in staff kitchenette areas.
If this activity area does not exist in the building, then do not enter data in the relevant cells.</t>
        </r>
      </text>
    </comment>
    <comment ref="D52" authorId="0" shapeId="0" xr:uid="{00000000-0006-0000-0900-00000B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will make an adjustment of two-thirds maximum flow rate to account for the fact that taps will not to be run at full volume.
Where the specified taps have a break point at the mid range of the flow (often referred to as 'click taps' or two stage mixer taps), the flow rate should be taken as the maximum flow rate quoted by the manufacturer of the lower range before the water break. This is typically 50 per cent of the flow rate, however this should not be assumed and manufacturer’s information must always be used.</t>
        </r>
      </text>
    </comment>
    <comment ref="D53" authorId="0" shapeId="0" xr:uid="{00000000-0006-0000-0900-00000C000000}">
      <text>
        <r>
          <rPr>
            <sz val="10"/>
            <color indexed="81"/>
            <rFont val="Tahoma"/>
            <family val="2"/>
          </rPr>
          <t xml:space="preserve">Dishwashers in staff kitchen area(s). Requires inclusion only where it is known that a dishwasher will be installed, as follows:
</t>
        </r>
        <r>
          <rPr>
            <b/>
            <sz val="10"/>
            <color indexed="81"/>
            <rFont val="Tahoma"/>
            <family val="2"/>
          </rPr>
          <t>Building end user/client known</t>
        </r>
        <r>
          <rPr>
            <sz val="10"/>
            <color indexed="81"/>
            <rFont val="Tahoma"/>
            <family val="2"/>
          </rPr>
          <t xml:space="preserve">: The stakeholder confirms whether this component will be installed, where this is the case they must confirm intended specification which is then entered in the calculation. Where installation is confirmed, but litres/cycle for the dishwasher is not known/confirmed, then assume a default of 17 litres/cycle setting for the purpose of the calculation.
</t>
        </r>
        <r>
          <rPr>
            <b/>
            <sz val="10"/>
            <color indexed="81"/>
            <rFont val="Tahoma"/>
            <family val="2"/>
          </rPr>
          <t>Building/end user not known</t>
        </r>
        <r>
          <rPr>
            <sz val="10"/>
            <color indexed="81"/>
            <rFont val="Tahoma"/>
            <family val="2"/>
          </rPr>
          <t>: The specification is determined on the basis of whether or not provision is made within the activity area for future installation i.e. dedicated fittings plumbed for water supply and waste extraction. Where this is the case, if a maximum allowable specification is not specified within a lease agreement (for a tenanted area), then assume a default of 17 litres/cycle for the purpose of the calculation. Where no provision is made for the future installation of this component type, then it can be assumed that it will not be specified (for BREEAM purposes) and a specification not entered within the calculation.</t>
        </r>
        <r>
          <rPr>
            <sz val="8"/>
            <color indexed="81"/>
            <rFont val="Tahoma"/>
            <family val="2"/>
          </rPr>
          <t xml:space="preserve">
</t>
        </r>
        <r>
          <rPr>
            <sz val="10"/>
            <color indexed="81"/>
            <rFont val="Tahoma"/>
            <family val="2"/>
          </rPr>
          <t xml:space="preserve">
Where manufacturers data specifies dishwasher water efficiency in litres/place setting, simply multiply this figure by the number of place settings the dishwasher is designed to accommodate per wash cycle to get the litres/cycle (water consumption) for the purpose of this calculation.</t>
        </r>
      </text>
    </comment>
    <comment ref="D55" authorId="0" shapeId="0" xr:uid="{00000000-0006-0000-0900-00000D000000}">
      <text>
        <r>
          <rPr>
            <sz val="10"/>
            <color indexed="81"/>
            <rFont val="Tahoma"/>
            <family val="2"/>
          </rPr>
          <t>Enter the full flow rate in litres per minute measured at a dynamic pressure of 3±0.2 bar (0.3±0.02 MPa) for high pressure (Type 1) taps, or at a dynamic pressure of 0.1±0.02 bar (0.01±0.002 MPa) for low pressure (Type 2) taps (BS EN 200:2008, sanitary tapware, single taps and combination taps for supply systems of type 1 and 2. General technical specifications) including any reductions achieved with flow restrictions.
The calculation assumes the component will be used at this maximum given the type of use i.e. no adjustment is made as per wash hand basin taps.</t>
        </r>
      </text>
    </comment>
    <comment ref="D56" authorId="0" shapeId="0" xr:uid="{00000000-0006-0000-0900-00000E000000}">
      <text>
        <r>
          <rPr>
            <sz val="10"/>
            <color indexed="81"/>
            <rFont val="Tahoma"/>
            <family val="2"/>
          </rPr>
          <t>Usage factor for this component is based on a commercial dishwasher component. 
The default usage is set at quarter a rack of crockery per cover i.e. meal served. The number of covers is determined based on size of seated dining area.</t>
        </r>
      </text>
    </comment>
    <comment ref="G107" authorId="0" shapeId="0" xr:uid="{00000000-0006-0000-0900-00000F000000}">
      <text>
        <r>
          <rPr>
            <sz val="10"/>
            <color indexed="81"/>
            <rFont val="Tahoma"/>
            <family val="2"/>
          </rPr>
          <t xml:space="preserve">The focus of this BREEAM issue is the performance of the buildings permanent domestic water consuming components. Where a greywater or rainwater system is specified, the yield from the system should be prioritised for such uses i.e. WC/Urinal flushing. However, where the building demonstrates that it has other consistent (i.e. daily) and equivalent levels of non potable water demand, and such demands are intrinsic to the building’s operation, then it is permissible for the demand from these non domestic uses to be counted i.e. the demand for rainwater/greywater yield from such systems/components can be used as well as, or instead of non potable water demand from the buildings WC/Urinal components. 
Examples of consistent and equivalent demands could include laundry use in hotels/multi-residential developments or horticultural uses in garden centres, botanical gardens and golf courses. Demand for general landscaping and ornamental planting irrigation are not considered equivalent by BREEAM.
</t>
        </r>
      </text>
    </comment>
    <comment ref="G109" authorId="0" shapeId="0" xr:uid="{00000000-0006-0000-0900-000010000000}">
      <text>
        <r>
          <rPr>
            <sz val="10"/>
            <color indexed="81"/>
            <rFont val="Tahoma"/>
            <family val="2"/>
          </rPr>
          <t>Where other permissible components are the only components to demand greywater and/or rainwater yield then the figure here is equivalent to the total greywater and/or rainwater yield calculated using this methodology, but converted in to Litres/day from Litres/person/day. The conversion is to enable a comparison with the components actual/predicted water demand to determine the proportion of the yield that the component is likely to use.
Where other permissible components demand greywater and/or rainwater yield in addition to demand from WC and/or urinals, the figure here is the sum of the total rainwater and/or greywater yield  minus the demand from WC/urinal components. If the WC/urinal components already demand 100% of the yield then the figure here will be zero i.e. none of the yield is available to meet the other demand.
Note: Even though in reality the actual building's other permissible components may use greywater and/or rainwater yield, if the available yield (as calculated by this methodology, using a default occupancy rate) is less than or equal to the demand from the WC/urinal components, then 100% of the yield will be attributed to that demand leaving zero yield for other uses.</t>
        </r>
      </text>
    </comment>
    <comment ref="F126" authorId="0" shapeId="0" xr:uid="{00000000-0006-0000-0900-000011000000}">
      <text>
        <r>
          <rPr>
            <sz val="10"/>
            <color indexed="81"/>
            <rFont val="Tahoma"/>
            <family val="2"/>
          </rPr>
          <t xml:space="preserve">Where greywater and/or rainwater systems are specified there is a minimum level of component efficiency that must be achieved to award 4 or 5 BREEAM credits and the exemplary level credit. This is to avoid awarding a higher number of BREEAM credits where performance from less efficient fittings is off-set by the specification of a greywater and/or rainwater collection system. The intention being to ensure demand reduction is prioritised before off-setting consumption.
For the four and five BREEAM credit levels, where a greywater/rainwater system is specified/installed, the component specification must achieve a percentage reduction in water consumption (over the baseline specification) equivalent to that required for 2 credits i.e. a 25% improvement. 
Where this level is achieved, all of the total water demand met by greywater/rainwater sources can contribute to the overall percentage improvement required to achieve BREEAM credits. If it is not achieved, the percentage of greywater/rainwater allowable will be equivalent to the percentage improvement in water consumption achieved for the component specification (i.e. percentage improvement on the baseline specification). For example, if only a 20% improvement is achieved, and therefore the building is not meeting the 25% requirement, then only 20% of the water demand met via greywater/rainwater sources can be used to off-set water consumption from the microcomponents. 
This minimum requirement does not apply where only 1, 2 or 3 credits are sought or where no greywater/rainwater system is specified i.e. percentage improvement is based solely on the water efficiency of the microcomponent specification. Where this is the case, this box will state either "Not applicable" or "System not specified".
</t>
        </r>
      </text>
    </comment>
    <comment ref="O135" authorId="0" shapeId="0" xr:uid="{00000000-0006-0000-0900-000012000000}">
      <text>
        <r>
          <rPr>
            <sz val="8"/>
            <color indexed="81"/>
            <rFont val="Tahoma"/>
            <family val="2"/>
          </rPr>
          <t xml:space="preserve">This figure is the kitchen staff. See activity database for description of how this calculation works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Tim Bevan</author>
  </authors>
  <commentList>
    <comment ref="E106" authorId="0" shapeId="0" xr:uid="{00000000-0006-0000-0B00-000001000000}">
      <text>
        <r>
          <rPr>
            <sz val="11"/>
            <color indexed="81"/>
            <rFont val="Tahoma"/>
            <family val="2"/>
          </rPr>
          <t xml:space="preserve">Where urinals are specified in the building half the total of 2103 for WCs (to account for male use only) is adjusted by a usage ratio of 1 WC uses for every 3 urinal uses (this ratio is that used in non-domestic buildings where urinals are specified). This is further adjusted by the number of Urinals to WCs as it is assumed that for this building type there maybe some urinals, for example in facilities associated with an office or other non domestic area of the building, but that the urinals maybe small in number relative to the number of WCs.
This total is then subtracted from the WC use and added to the urinal usage.
</t>
        </r>
      </text>
    </comment>
    <comment ref="G106" authorId="0" shapeId="0" xr:uid="{00000000-0006-0000-0B00-000002000000}">
      <text>
        <r>
          <rPr>
            <sz val="8"/>
            <color indexed="81"/>
            <rFont val="Tahoma"/>
            <family val="2"/>
          </rPr>
          <t>The total figure for showers and baths from BNWate 22 is 2151.  Where only showers or baths are specified this total is used. Where both are available the total 2151 is adjusted in accordance with the use factor from the water consumption calculation for new dwellings, as follows:
Bath, where shower present: 0.11
Bath only: 0.5
Assuming 1 use per person per day (as per the new dwellings methodology), where a bath/shower is present the shower will be used 89% of the time (and bath the remaining 11%). Likewise, if only a bath is present then it is used once every two days i.e. 0.5 usage factor).</t>
        </r>
      </text>
    </comment>
    <comment ref="H106" authorId="0" shapeId="0" xr:uid="{00000000-0006-0000-0B00-000003000000}">
      <text>
        <r>
          <rPr>
            <sz val="8"/>
            <color indexed="81"/>
            <rFont val="Tahoma"/>
            <family val="2"/>
          </rPr>
          <t>The total figure for showers and baths from BNWate 22 is 2151.  Where only showers or baths are specified this total is used. Where both are available the total 2151 is adjusted in accordance with the use factor from the water consumption calculation for new dwellings, as follows:
Bath, where shower present: 0.11
Bath only: 0.5
Assuming 1 use per person per day (as per the new dwellings methodology), where a bath/shower is present the shower will be used 89% of the time (and bath the remaining 11%). Likewise, if only a bath is present then it is used once every two days i.e. 0.5 usage factor).</t>
        </r>
      </text>
    </comment>
    <comment ref="L106" authorId="0" shapeId="0" xr:uid="{00000000-0006-0000-0B00-000004000000}">
      <text>
        <r>
          <rPr>
            <sz val="10"/>
            <color indexed="81"/>
            <rFont val="Tahoma"/>
            <family val="2"/>
          </rPr>
          <t>This figure is inferred using the percentage split form hotels for this component and applying this to the total for residential use of 8199 ML/day for WCs, WHBs, Showers/Baths, kitchen taps, dishwasher and washing machines, as sourced from BNWatt22.
It is envisage that few residential institutions will have this component, unless they have a commercial kitchen associated with the development, but a figure is provided so that those residential developments with this component can be assessed.</t>
        </r>
      </text>
    </comment>
    <comment ref="M106" authorId="0" shapeId="0" xr:uid="{00000000-0006-0000-0B00-000005000000}">
      <text>
        <r>
          <rPr>
            <sz val="10"/>
            <color indexed="81"/>
            <rFont val="Tahoma"/>
            <family val="2"/>
          </rPr>
          <t>This figure is inferred using the percentage split form hotels for this component and applying this to the total for residential use of 8199 ML/day for WCs, WHBs, Showers/Baths, kitchen taps, dishwasher and washing machines, as sourced from BNWatt22.
It is envisage that few residential institutions will have this component, unless they have a commercial kitchen associated with the development, but a figure is provided so that those residential developments with this component can be assessed.</t>
        </r>
      </text>
    </comment>
    <comment ref="N106" authorId="0" shapeId="0" xr:uid="{00000000-0006-0000-0B00-000006000000}">
      <text>
        <r>
          <rPr>
            <sz val="10"/>
            <color indexed="81"/>
            <rFont val="Tahoma"/>
            <family val="2"/>
          </rPr>
          <t>This figure is inferred using the percentage split form hotels for this component and applying this to the total for residential use of 8199 ML/day for WCs, WHBs, Showers/Baths, kitchen taps, dishwasher and washing machines, as sourced from BNWatt22.
It is envisage that few residential institutions will have this component, unless they have a commercial kitchen associated with the development, but a figure is provided so that those residential developments with this component can be assessed.</t>
        </r>
      </text>
    </comment>
    <comment ref="O106" authorId="0" shapeId="0" xr:uid="{00000000-0006-0000-0B00-000007000000}">
      <text>
        <r>
          <rPr>
            <sz val="10"/>
            <color indexed="81"/>
            <rFont val="Tahoma"/>
            <family val="2"/>
          </rPr>
          <t>This figure is inferred using the percentage split form hotels for this component and applying this to the total for residential use of 8199 ML/day for WCs, WHBs, Showers/Baths, kitchen taps, dishwasher and washing machines, as sourced from BNWatt22.
It is envisage that few residential institutions will have this component, unless they have a commercial kitchen associated with the development, but a figure is provided so that those residential developments with this component can be assessed.</t>
        </r>
      </text>
    </comment>
    <comment ref="R106" authorId="0" shapeId="0" xr:uid="{00000000-0006-0000-0B00-000008000000}">
      <text>
        <r>
          <rPr>
            <sz val="8"/>
            <color indexed="81"/>
            <rFont val="Tahoma"/>
            <family val="2"/>
          </rPr>
          <t xml:space="preserve">BNWat22 confirms 681 mega-litres per day for non domestic buildings. Using this total and the following ratio of use/component, the splits have been determined for this building type:
WC = 27.60%
Urinal = 4.14%
WHB (includes the fixed use from vessel filling) = 17.85%
Shower = 22.2%
Kitchen taps = 10.00%
Domestic dishwasher = 1.25%
Pre-rinse nozzle )Includes food prep fixed use from taps) = 11.37
Commercial dishwasher = 1.42%
Waste disposal = 4.14%
The above ratios are based on modelling carried out using the BREEAM offices water calculator, assuming a standard office (2000m2) with staff canteen (100m2) with baseline component specification. Office usage data was used as, in-lieu of other general information on the split in consumption by component, it is likely to reflect the split most closely for other types of building (though if other data for a specific building type is available, then this used be used in future versions of this calculator).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Tim Bevan</author>
  </authors>
  <commentList>
    <comment ref="E24" authorId="0" shapeId="0" xr:uid="{00000000-0006-0000-0C00-000001000000}">
      <text>
        <r>
          <rPr>
            <sz val="10"/>
            <color indexed="81"/>
            <rFont val="Tahoma"/>
            <family val="2"/>
          </rPr>
          <t>Enter the number of times that the specified cistern will flush per hour (assuming the default period of operation for the building type, which is given in the relevant calculator).
Where infrared sensing flushing control or some form of mechanical flush control is specified, the frequency must be based on the pre-set flushing frequency (confirmed by the design team or building's end user). 
Alternatively, the flush controllers factory default setting or a default figure necessary to maintain compliance with the Water Supply (Water Fittings) Regulations can be used, as follows: 
7.5 litres/hour/bowl where cistern serves two or more urinal bowls. Or
10 litres/hour/bowl where cistern serves only one urinal bowl.
Where urinals are likely to go longer than 30 minutes without flushing after use it should be confirmed that the urinals bowls are of a type designed for low flushing frequency. 
This is to avoid standard urinals being specified and the flushing frequency being set low to reduce water demand; this can cause hygienic problems and unnecessary maintenance (avoided through proper specification and system set-up).</t>
        </r>
      </text>
    </comment>
    <comment ref="H57" authorId="0" shapeId="0" xr:uid="{00000000-0006-0000-0C00-000002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59" authorId="0" shapeId="0" xr:uid="{00000000-0006-0000-0C00-000003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71" authorId="0" shapeId="0" xr:uid="{00000000-0006-0000-0C00-000004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73" authorId="0" shapeId="0" xr:uid="{00000000-0006-0000-0C00-000005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85" authorId="0" shapeId="0" xr:uid="{00000000-0006-0000-0C00-000006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87" authorId="0" shapeId="0" xr:uid="{00000000-0006-0000-0C00-000007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99" authorId="0" shapeId="0" xr:uid="{00000000-0006-0000-0C00-000008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 ref="H101" authorId="0" shapeId="0" xr:uid="{00000000-0006-0000-0C00-000009000000}">
      <text>
        <r>
          <rPr>
            <sz val="10"/>
            <color indexed="81"/>
            <rFont val="Tahoma"/>
            <family val="2"/>
          </rPr>
          <t>Note: Where the average flow rate is lower than the proportionate flow rate, the proportionate figure must be used. The proportionate figure limits the flow rate that can be specified to a proportion equal to 70 per cent of the highest flow rate/volume. This reduces the benefit of specifying ultra low fittings to bring the average flow rate, where such ultra low fittings may not be acceptable to the occupants.</t>
        </r>
        <r>
          <rPr>
            <sz val="8"/>
            <color indexed="81"/>
            <rFont val="Tahoma"/>
            <family val="2"/>
          </rPr>
          <t xml:space="preserve">
</t>
        </r>
      </text>
    </comment>
  </commentList>
</comments>
</file>

<file path=xl/sharedStrings.xml><?xml version="1.0" encoding="utf-8"?>
<sst xmlns="http://schemas.openxmlformats.org/spreadsheetml/2006/main" count="3377" uniqueCount="1029">
  <si>
    <t>BREEAM International 2016 / Version 6 Wat 01 Water consumption calculator - User instructions</t>
  </si>
  <si>
    <r>
      <rPr>
        <b/>
        <sz val="10"/>
        <rFont val="Arial"/>
        <family val="2"/>
      </rPr>
      <t xml:space="preserve">Important information
</t>
    </r>
    <r>
      <rPr>
        <sz val="10"/>
        <rFont val="Arial"/>
        <family val="2"/>
      </rPr>
      <t xml:space="preserve">
This version of the BREEAM International 2016 Wat 01 calculator can be used for the following building types:
1) Offices
2) Retail
3) Industrial
4) Education
5) Other building types
</t>
    </r>
    <r>
      <rPr>
        <sz val="10"/>
        <color theme="1"/>
        <rFont val="Arial"/>
        <family val="2"/>
      </rPr>
      <t>Assessors may use the ‘Other building type calculator’ for the assessment of Residential buildings, Residential institutions - Long term stay and Hotels and Residential institutions - Shorte term stay,selecting the relevant option from the drop-down list.</t>
    </r>
    <r>
      <rPr>
        <sz val="10"/>
        <rFont val="Arial"/>
        <family val="2"/>
      </rPr>
      <t xml:space="preserve">
For Bespoke projects, please, see the criteria appendix for details of which building type to use for the assessment of this issue.
The BREEAM International 2016 Wat 01 calculator tool is compatible with Microsoft Excel version</t>
    </r>
    <r>
      <rPr>
        <sz val="10"/>
        <color theme="1"/>
        <rFont val="Arial"/>
        <family val="2"/>
      </rPr>
      <t>s 2007, 2010 and 2013.</t>
    </r>
    <r>
      <rPr>
        <sz val="10"/>
        <rFont val="Arial"/>
        <family val="2"/>
      </rPr>
      <t xml:space="preserve">
</t>
    </r>
  </si>
  <si>
    <r>
      <t>User instructions</t>
    </r>
    <r>
      <rPr>
        <sz val="10"/>
        <rFont val="Arial"/>
        <family val="2"/>
      </rPr>
      <t xml:space="preserve">
There are two ways to calculate performance using the BREEAM International 2016 Wat 01 calculator:
1) The standard Wat 01 method
2) The alternative Wat 01 method
The standard BREEAM water efficiency method determines water efficiency (measured in l/person/day and m3/person/yr) for a building based on the building's actual component specification and default usage patterns for the building type and its activity areas. This output is compared with the same output for a baseline component specification and the percentage improvement used to determine the number of BREEAM credits achieved.
The standard approach is the default method for calculating water efficiency of a BREEAM assessed building and is that used for most of the common building types, where usage data is available, including:
1) Offices
2) Retail
3) Industrial
4) Education
Where it is not possible to use the standard approach to determine the buildings water consumption total, and therefore a percentage improvement on the baseline specification, the assessment can be completed using the alternative method. The alternative method is used for any Other building type not listed above under the standard method.</t>
    </r>
    <r>
      <rPr>
        <b/>
        <sz val="10"/>
        <rFont val="Arial"/>
        <family val="2"/>
      </rPr>
      <t xml:space="preserve">
</t>
    </r>
  </si>
  <si>
    <t>List of activities and daily schedules per week type</t>
  </si>
  <si>
    <t>These are the daily schedules for the Activities listed in the activities Database as per 11/08/10.</t>
  </si>
  <si>
    <t>They correspond to the daily schedule for Mondays.</t>
  </si>
  <si>
    <t>The Week Type identifies potential differences in Monday schedules for different weeks of the year with different patterns of occupancy (e.g. schools full time and schools summer periods).</t>
  </si>
  <si>
    <t>Week 1 (WK1) normally identifies standard operation (working weeks)</t>
  </si>
  <si>
    <t>Activity ID</t>
  </si>
  <si>
    <t>Activity Name</t>
  </si>
  <si>
    <t>Building Type</t>
  </si>
  <si>
    <t>OCCUPANCY_DENS</t>
  </si>
  <si>
    <t>WEEKLY_SCHEDULE</t>
  </si>
  <si>
    <t>Week Type</t>
  </si>
  <si>
    <t>h00</t>
  </si>
  <si>
    <t>h01</t>
  </si>
  <si>
    <t>h02</t>
  </si>
  <si>
    <t>h03</t>
  </si>
  <si>
    <t>h04</t>
  </si>
  <si>
    <t>h05</t>
  </si>
  <si>
    <t>h06</t>
  </si>
  <si>
    <t>h07</t>
  </si>
  <si>
    <t>h08</t>
  </si>
  <si>
    <t>h09</t>
  </si>
  <si>
    <t>h10</t>
  </si>
  <si>
    <t>h11</t>
  </si>
  <si>
    <t>h12</t>
  </si>
  <si>
    <t>h13</t>
  </si>
  <si>
    <t>h14</t>
  </si>
  <si>
    <t>h15</t>
  </si>
  <si>
    <t>h16</t>
  </si>
  <si>
    <t>h17</t>
  </si>
  <si>
    <t>h18</t>
  </si>
  <si>
    <t>h19</t>
  </si>
  <si>
    <t>h20</t>
  </si>
  <si>
    <t>h21</t>
  </si>
  <si>
    <t>h22</t>
  </si>
  <si>
    <t>h23</t>
  </si>
  <si>
    <t>Cupboard</t>
  </si>
  <si>
    <t>B1 Offices and Workshop businesses</t>
  </si>
  <si>
    <t>Office_Store_Occ_WK1</t>
  </si>
  <si>
    <t>Circulation area (corridors and stairways)</t>
  </si>
  <si>
    <t>Office_Circulation_Occ_WK1</t>
  </si>
  <si>
    <t>Toilet</t>
  </si>
  <si>
    <t>Office_Toilet_Occ_WK1</t>
  </si>
  <si>
    <t>Reception</t>
  </si>
  <si>
    <t>Office_Reception_Occ_WK1</t>
  </si>
  <si>
    <t>Light plant room</t>
  </si>
  <si>
    <t>Office_Plant_Occ_WK1</t>
  </si>
  <si>
    <t>Generic Office Area</t>
  </si>
  <si>
    <t>Office_OpenOff_Occ_WK1</t>
  </si>
  <si>
    <t>Fitness suite/gym</t>
  </si>
  <si>
    <t>Office_FitGym_Occ_Wk1</t>
  </si>
  <si>
    <t>Changing facilities with showers</t>
  </si>
  <si>
    <t>Office_Changing_Occ_WK1</t>
  </si>
  <si>
    <t>Food preparation area</t>
  </si>
  <si>
    <t>Office_FoodPrep_Occ_WK1</t>
  </si>
  <si>
    <t>Eating/drinking area</t>
  </si>
  <si>
    <t>Office_EatDrink_Occ_WK1</t>
  </si>
  <si>
    <t>Workshop - small scale</t>
  </si>
  <si>
    <t>Office_WkshpSS_Occ_Wk1</t>
  </si>
  <si>
    <t>Laundry</t>
  </si>
  <si>
    <t>A1/A2 Retail and Financial/Professional services</t>
  </si>
  <si>
    <t>Office_Laund_Occ_Wk1</t>
  </si>
  <si>
    <t>Assembly areas / halls</t>
  </si>
  <si>
    <t>C1 Hotels</t>
  </si>
  <si>
    <t>Hotel_Lecture_Occ_WK1</t>
  </si>
  <si>
    <t>Bedroom unit</t>
  </si>
  <si>
    <t>Hotel_Bed_Occ_WK1</t>
  </si>
  <si>
    <t>Hotel_Changing_Occ_WK1</t>
  </si>
  <si>
    <t>Hotel_Circulation_Occ_WK1</t>
  </si>
  <si>
    <t>Hotel_FoodPrep_Occ_WK1</t>
  </si>
  <si>
    <t>Hotel_EatDrink_Occ_WK1</t>
  </si>
  <si>
    <t>Hotel_FitGym_Occ_Wk1</t>
  </si>
  <si>
    <t>Hotel_Laund_Occ_Wk1</t>
  </si>
  <si>
    <t>Hotel_Plant_Occ_WK1</t>
  </si>
  <si>
    <t>Hotel_Reception_Occ_WK1</t>
  </si>
  <si>
    <t>Hotel_Toilet_Occ_WK1</t>
  </si>
  <si>
    <t>Swimming pool</t>
  </si>
  <si>
    <t>Hotel_Swim_Occ_WK1</t>
  </si>
  <si>
    <t>Dry sports hall</t>
  </si>
  <si>
    <t>Hotel_DrySptHall_Occ_WK1</t>
  </si>
  <si>
    <t>Hotel_Store_Occ_WK1</t>
  </si>
  <si>
    <t>Hotel_CellOff_Occ_WK1</t>
  </si>
  <si>
    <t>Circulation area (corridors and stairways) - non public</t>
  </si>
  <si>
    <t>A3/A4/A5 Restaurant and Cafes/Drinking Establishments and Hot Food takeaways</t>
  </si>
  <si>
    <t>RestPub_Circulation_Occ_WK1</t>
  </si>
  <si>
    <t>RestPub_EatDrink_Occ_WK1</t>
  </si>
  <si>
    <t>RestPub_FoodPrep_Occ_WK1</t>
  </si>
  <si>
    <t>RestPub_Store_Occ_WK1</t>
  </si>
  <si>
    <t>Performance area (stage)</t>
  </si>
  <si>
    <t>RestPub_Stage_Occ_WK1</t>
  </si>
  <si>
    <t>RestPub_Plant_Occ_WK1</t>
  </si>
  <si>
    <t>RestPub_Toilet_Occ_WK1</t>
  </si>
  <si>
    <t>RestPub_CellOff_Occ_WK1</t>
  </si>
  <si>
    <t>B2 to B7 General Industrial and Special Industrial Groups</t>
  </si>
  <si>
    <t>Indust_Circulation_Occ_WK1</t>
  </si>
  <si>
    <t>Indust_EatDrink_Occ_WK1</t>
  </si>
  <si>
    <t>Indust_FoodPrep_Occ_WK1</t>
  </si>
  <si>
    <t>Industrial process area</t>
  </si>
  <si>
    <t>Indust_IndProcess_Occ_Wk1</t>
  </si>
  <si>
    <t>Laboratory</t>
  </si>
  <si>
    <t>Indust_Lab_Occ_WK1</t>
  </si>
  <si>
    <t>Indust_Plant_Occ_WK1</t>
  </si>
  <si>
    <t>Indust_Reception_Occ_WK1</t>
  </si>
  <si>
    <t>Indust_Store_Occ_WK1</t>
  </si>
  <si>
    <t>Indust_Toilet_Occ_WK1</t>
  </si>
  <si>
    <t>Warehouse storage</t>
  </si>
  <si>
    <t>Indust_WareStore_Occ_Wk1</t>
  </si>
  <si>
    <t>Indust_CellOff_Occ_WK1</t>
  </si>
  <si>
    <t>B8 Storage or Distribution</t>
  </si>
  <si>
    <t>Ware_Circulation_Occ_Wk1</t>
  </si>
  <si>
    <t>Ware_FoodPrep_Occ_Wk1</t>
  </si>
  <si>
    <t>Ware_EatDrink_Occ_Wk1
Ware_EatDrink_Wk1</t>
  </si>
  <si>
    <t>Ware_Plant_Occ_Wk1</t>
  </si>
  <si>
    <t>Ware_Reception_Occ_WK1</t>
  </si>
  <si>
    <t>Ware_Store_Occ_Wk1</t>
  </si>
  <si>
    <t>Ware_Toilet_Occ_Wk1</t>
  </si>
  <si>
    <t>Ware_WareStore_Occ_Wk1</t>
  </si>
  <si>
    <t>Ware_Changing_Occ_WK1</t>
  </si>
  <si>
    <t>Ware_CellOff_Occ_Wk1</t>
  </si>
  <si>
    <t>Ret_Circulation_Occ_Wk1</t>
  </si>
  <si>
    <t>Ret_FoodPrep_Occ_Wk1</t>
  </si>
  <si>
    <t>Ret_EatDrink_Occ_Wk1
Ret_EatDrink_Wk1</t>
  </si>
  <si>
    <t>Ret_Plant_Occ_Wk1</t>
  </si>
  <si>
    <t>Small Shop Unit Sales area - general</t>
  </si>
  <si>
    <t>Ret_Sales_Occ_Wk1</t>
  </si>
  <si>
    <t>Small Shop Unit Sales area - chilled</t>
  </si>
  <si>
    <t>Ret_SalesChill_Occ_Wk1</t>
  </si>
  <si>
    <t>Small Shop Unit Sales area - electrical</t>
  </si>
  <si>
    <t>Ret_SalesElectric_Occ_Wk1</t>
  </si>
  <si>
    <t>Ret_Store_Occ_Wk1</t>
  </si>
  <si>
    <t>Ret_Toilet_Occ_Wk1</t>
  </si>
  <si>
    <t>Ret_CellOff_Occ_Wk1</t>
  </si>
  <si>
    <t>Domestic Lounge</t>
  </si>
  <si>
    <t>Residential spaces</t>
  </si>
  <si>
    <t>Dwell_DomLounge_Occ_Wk1</t>
  </si>
  <si>
    <t>Domestic Bedroom</t>
  </si>
  <si>
    <t>Dwell_DomBed_Occ_Wk1</t>
  </si>
  <si>
    <t>Domestic Dining room</t>
  </si>
  <si>
    <t>Dwell_DomDining_Occ_Wk1</t>
  </si>
  <si>
    <t>Domestic Toilet</t>
  </si>
  <si>
    <t>Dwell_DomToilet_Occ_Wk1</t>
  </si>
  <si>
    <t>Domestic Kitchen</t>
  </si>
  <si>
    <t>Dwell_DomKitchen_Occ_Wk1</t>
  </si>
  <si>
    <t>Domestic Circulation</t>
  </si>
  <si>
    <t>Dwell_DomCirculation_Occ_Wk1</t>
  </si>
  <si>
    <t>Domestic Bathroom</t>
  </si>
  <si>
    <t>Dwell_DomBath_Occ_Wk1</t>
  </si>
  <si>
    <t>Common circulation areas</t>
  </si>
  <si>
    <t>Dwell_DomCommonAreas_Occ_Wk1</t>
  </si>
  <si>
    <t>C2 Residential Institutions - Hospitals and Care Homes</t>
  </si>
  <si>
    <t>Hosp_Store_Occ_WK1</t>
  </si>
  <si>
    <t>Circulation area (corridors and stairways) - non-public/restricted</t>
  </si>
  <si>
    <t>Hosp_Circulation_Occ_WK1</t>
  </si>
  <si>
    <t>Hosp_Toilet_Occ_WK1</t>
  </si>
  <si>
    <t>Hosp_Reception_Occ_WK1</t>
  </si>
  <si>
    <t>Post Mortem Facility</t>
  </si>
  <si>
    <t>Hosp_PostMortem_Occ_WK1</t>
  </si>
  <si>
    <t>Hosp_EatDrink_Occ_WK1</t>
  </si>
  <si>
    <t>Hosp_FoodPrep_Occ_WK1</t>
  </si>
  <si>
    <t>Hosp_Plant_Occ_WK1</t>
  </si>
  <si>
    <t>Physiotherapy Studio</t>
  </si>
  <si>
    <t>Hosp_Physiotherapy_Occ_Wk1</t>
  </si>
  <si>
    <t>Bedroom Unit</t>
  </si>
  <si>
    <t>Hosp_Bed_Occ_WK1</t>
  </si>
  <si>
    <t>Hosp_Laund_Occ_Wk1</t>
  </si>
  <si>
    <t>24 hrs Consulting/treatment areas</t>
  </si>
  <si>
    <t>Hosp_AEConsRm_Occ_WK1</t>
  </si>
  <si>
    <t>Hosp_Lecture_Occ_WK1</t>
  </si>
  <si>
    <t>Hydrotherapy pool hall</t>
  </si>
  <si>
    <t>Hosp_Hydrotherapy_Occ_WK1</t>
  </si>
  <si>
    <t>Hosp_IndProcess_Occ_Wk1</t>
  </si>
  <si>
    <t>Hosp_Lab_Occ_WK1</t>
  </si>
  <si>
    <t>Operating theatre</t>
  </si>
  <si>
    <t>Hosp_OpTheatre_Occ_WK1</t>
  </si>
  <si>
    <t>Hosp_Changing_Occ_WK1</t>
  </si>
  <si>
    <t>Classroom</t>
  </si>
  <si>
    <t>Hosp_ClassRm_Occ_Wk1</t>
  </si>
  <si>
    <t>Diagnostic Imaging</t>
  </si>
  <si>
    <t>Hosp_Diagnostic_Occ_WK1</t>
  </si>
  <si>
    <t>Bathroom</t>
  </si>
  <si>
    <t>Hosp_Bath_Occ_WK1</t>
  </si>
  <si>
    <t>Generic Ward</t>
  </si>
  <si>
    <t>Hosp_WardPatients_Occ_WK1</t>
  </si>
  <si>
    <t>Office and consulting areas</t>
  </si>
  <si>
    <t>Hosp_CellOff_Occ_WK1</t>
  </si>
  <si>
    <t>Others - Passenger terminals</t>
  </si>
  <si>
    <t>Terminal_Circulation_Occ_WK1</t>
  </si>
  <si>
    <t>Terminal_Plant_Occ_WK1</t>
  </si>
  <si>
    <t>Terminal_Reception_Occ_WK1</t>
  </si>
  <si>
    <t>Terminal_Store_Occ_WK1</t>
  </si>
  <si>
    <t>Terminal_Toilet_Occ_WK1</t>
  </si>
  <si>
    <t>Terminal_Toilet_Occ_Wk2</t>
  </si>
  <si>
    <t>Waiting Rooms</t>
  </si>
  <si>
    <t>Terminal_WaitRm_Occ_WK1</t>
  </si>
  <si>
    <t>Lounges</t>
  </si>
  <si>
    <t>Terminal_Lounge_Occ_Wk1</t>
  </si>
  <si>
    <t>Terminal_Lounge_Occ_Wk2</t>
  </si>
  <si>
    <t>Terminal_FoodPrep_Occ_WK1</t>
  </si>
  <si>
    <t>Terminal_EatDrink_Occ_WK1</t>
  </si>
  <si>
    <t>Terminal_CellOff_Occ_WK1</t>
  </si>
  <si>
    <t>Generic Checkin areas</t>
  </si>
  <si>
    <t>Terminal_Check_Occ_Wk1</t>
  </si>
  <si>
    <t>Terminal_Check_Occ_Wk2</t>
  </si>
  <si>
    <t>Others - Emergency services</t>
  </si>
  <si>
    <t>EmgcySvc_Store_Occ_WK1</t>
  </si>
  <si>
    <t>EmgcySvc_Circulation_Occ_WK1</t>
  </si>
  <si>
    <t>EmgcySvc_Toilet_Occ_WK1</t>
  </si>
  <si>
    <t>EmgcySvc_Reception_Occ_WK1</t>
  </si>
  <si>
    <t>EmgcySvc_Changing_Occ_WK1</t>
  </si>
  <si>
    <t>EmgcySvc_FoodPrep_Occ_WK1</t>
  </si>
  <si>
    <t>EmgcySvc_DrySpt_Occ_WK1</t>
  </si>
  <si>
    <t>EmgcySvc_EatDrink_Occ_WK1</t>
  </si>
  <si>
    <t>EmgcySvc_Plant_Occ_WK1</t>
  </si>
  <si>
    <t>Cell (police/prison)</t>
  </si>
  <si>
    <t>EmgcySvc_Cell_Occ_WK1</t>
  </si>
  <si>
    <t>Bedroom</t>
  </si>
  <si>
    <t>EmgcySvc_Bed_Occ_WK1</t>
  </si>
  <si>
    <t>EmgcySvc_Bath_Occ_WK1</t>
  </si>
  <si>
    <t>EmgcySvc_CellOff_Occ_WK1</t>
  </si>
  <si>
    <t>Others -Telephone exchanges</t>
  </si>
  <si>
    <t>TelExchg_Circulation_Occ_WK1</t>
  </si>
  <si>
    <t>TelExchg_Toilet_Occ_WK1</t>
  </si>
  <si>
    <t>TelExchg_Reception_Occ_WK1</t>
  </si>
  <si>
    <t>TelExchg_Plant_Occ_WK1</t>
  </si>
  <si>
    <t>TelExchg_Store_Occ_WK1</t>
  </si>
  <si>
    <t>TelExchg_CellOff_Occ_WK1</t>
  </si>
  <si>
    <t>Data Centre</t>
  </si>
  <si>
    <t>Others - Miscellaneous 24hr activities</t>
  </si>
  <si>
    <t>Misc24Hr_DataCentre_Occ_Wk1</t>
  </si>
  <si>
    <t>Server Room</t>
  </si>
  <si>
    <t>Misc24Hr_ServerRoom_Occ_Wk1</t>
  </si>
  <si>
    <t>D1 Non-residential Institutions - Libraries Museums and Galleries</t>
  </si>
  <si>
    <t>LibMusGall_Store_Occ_WK1</t>
  </si>
  <si>
    <t>LibMusGall_Circulation_Occ_WK1</t>
  </si>
  <si>
    <t>LibMusGall_Toilet_Occ_WK1</t>
  </si>
  <si>
    <t>LibMusGall_Reception_Occ_WK1</t>
  </si>
  <si>
    <t>LibMusGall_FoodPrep_Occ_WK1</t>
  </si>
  <si>
    <t>Hall/lecture theatre/assembly area</t>
  </si>
  <si>
    <t>LibMusGall_Lecture_Occ_WK1</t>
  </si>
  <si>
    <t>LibMusGall_Lab_Occ_WK1</t>
  </si>
  <si>
    <t>LibMusGall_EatDrink_Occ_WK1</t>
  </si>
  <si>
    <t>LibMusGall_Plant_Occ_WK1</t>
  </si>
  <si>
    <t>LibMusGall_WkshpSS_Occ_WK1</t>
  </si>
  <si>
    <t>Display and Public areas</t>
  </si>
  <si>
    <t>LibMusGall_CirculationPub_Occ_Wk1</t>
  </si>
  <si>
    <t>LibMusGall_CellOff_Occ_WK1</t>
  </si>
  <si>
    <t>D1 Non-residential Institutions - Community/Day Centre</t>
  </si>
  <si>
    <t>DayCtr_Store_Occ_WK1</t>
  </si>
  <si>
    <t>DayCtr_Circulation_Occ_WK1</t>
  </si>
  <si>
    <t>DayCtr_Toilet_Occ_WK1</t>
  </si>
  <si>
    <t>DayCtr_Reception_Occ_WK1</t>
  </si>
  <si>
    <t>DayCtr_DrySptHall_Occ_WK1</t>
  </si>
  <si>
    <t>DayCtr_FoodPrep_Occ_WK1</t>
  </si>
  <si>
    <t>DayCtr_EatDrink_Occ_WK1</t>
  </si>
  <si>
    <t>DayCtr_Plant_Occ_WK1</t>
  </si>
  <si>
    <t>DayCtr_Changing_Occ_WK1</t>
  </si>
  <si>
    <t>DayCtr_WkshpSS_Occ_Wk1</t>
  </si>
  <si>
    <t>DayCtr_Lecture_Occ_WK1</t>
  </si>
  <si>
    <t>DayCtr_CellOff_Occ_WK1</t>
  </si>
  <si>
    <t>D1 Non-residential Institutions - Primary Health Care Building</t>
  </si>
  <si>
    <t>PrmHlthCare_Store_Occ_WK1</t>
  </si>
  <si>
    <t>PrmHlthCare_Circulation_Occ_WK1</t>
  </si>
  <si>
    <t>PrmHlthCare_Toilet_Occ_WK1</t>
  </si>
  <si>
    <t>PrmHlthCare_Reception_Occ_WK1</t>
  </si>
  <si>
    <t>PrmHlthCare_Plant_Occ_WK1</t>
  </si>
  <si>
    <t>PrmHlthCare_CellOff_Occ_WK1</t>
  </si>
  <si>
    <t>D1 Non-residential Institutions - Crown and County Courts</t>
  </si>
  <si>
    <t>Court_Store_Occ_WK1</t>
  </si>
  <si>
    <t>Court_Circulation_Occ_WK1</t>
  </si>
  <si>
    <t>Court_Toilet_Occ_WK1</t>
  </si>
  <si>
    <t>Court_Reception_Occ_WK1</t>
  </si>
  <si>
    <t>Court_FoodPrep_Occ_WK1</t>
  </si>
  <si>
    <t>Court_Lecture_Occ_WK1</t>
  </si>
  <si>
    <t>Court_EatDrink_Occ_WK1</t>
  </si>
  <si>
    <t>Court_Plant_Occ_WK1</t>
  </si>
  <si>
    <t>Court_Cell_Occ_WK1</t>
  </si>
  <si>
    <t>D2 General Assembly and Leisure plus Night Clubs and Theatres</t>
  </si>
  <si>
    <t>D2_Changing_Occ_WK1</t>
  </si>
  <si>
    <t>D2_Circulation_Occ_WK1</t>
  </si>
  <si>
    <t>D2_DrySptHall_Occ_WK1</t>
  </si>
  <si>
    <t>D2_EatDrink_Occ_WK1</t>
  </si>
  <si>
    <t>Fitness Studio</t>
  </si>
  <si>
    <t>D2_FitStud_Occ_Wk1</t>
  </si>
  <si>
    <t>D2_FitGym_Occ_Wk1</t>
  </si>
  <si>
    <t>D2_FoodPrep_Occ_WK1</t>
  </si>
  <si>
    <t>D2_Lecture_Occ_WK1</t>
  </si>
  <si>
    <t>Auditoria</t>
  </si>
  <si>
    <t>D2_Auditoria_Occ_WK1</t>
  </si>
  <si>
    <t>Ice rink</t>
  </si>
  <si>
    <t>D2_IceRink_Occ_WK1</t>
  </si>
  <si>
    <t>D2_Laund_Occ_Wk1</t>
  </si>
  <si>
    <t>D2_Stage_Occ_WK1</t>
  </si>
  <si>
    <t>D2_Plant_Occ_WK1</t>
  </si>
  <si>
    <t>Public circulation areas</t>
  </si>
  <si>
    <t>D2_CirculationPub_Occ_Wk1</t>
  </si>
  <si>
    <t>D2_Reception_Occ_WK1</t>
  </si>
  <si>
    <t>Sales area - general</t>
  </si>
  <si>
    <t>D2_Sales_Occ_WK1</t>
  </si>
  <si>
    <t>D2_Store_Occ_WK1</t>
  </si>
  <si>
    <t>D2_Swim_Occ_WK1</t>
  </si>
  <si>
    <t>D2_Swim_Occ_Wk2</t>
  </si>
  <si>
    <t>D2_Toilet_Occ_WK1</t>
  </si>
  <si>
    <t>D2_WkshpSS_Occ_WK1</t>
  </si>
  <si>
    <t>D2_CellOff_Occ_WK1</t>
  </si>
  <si>
    <t>D1 Non-residential Institutions - Education</t>
  </si>
  <si>
    <t>D1_Edu_Changing_Occ_WK1</t>
  </si>
  <si>
    <t>D1_Edu_Changing_Occ_Wk2</t>
  </si>
  <si>
    <t>D1_Edu_Circulation_Occ_WK1</t>
  </si>
  <si>
    <t>D1_Edu_Circulation_Occ_Wk2</t>
  </si>
  <si>
    <t>D1_Edu_DrySptHall_Occ_WK1</t>
  </si>
  <si>
    <t>D1_Edu_DrySptHall_Occ_Wk2</t>
  </si>
  <si>
    <t>D1_Edu_EatDrink_Occ_WK1</t>
  </si>
  <si>
    <t>D1_Edu_EatDrink_Occ_Wk2</t>
  </si>
  <si>
    <t>D1_Edu_FoodPrep_Occ_WK1</t>
  </si>
  <si>
    <t>D1_Edu_FoodPrep_Occ_Wk2</t>
  </si>
  <si>
    <t>D1_Edu_Lecture_Occ_WK1</t>
  </si>
  <si>
    <t>D1_Edu_Lecture_Occ_Wk2</t>
  </si>
  <si>
    <t>Computer lab</t>
  </si>
  <si>
    <t>D1_Edu_HighDensIT_Occ_Wk2</t>
  </si>
  <si>
    <t>D1_Edu_HighDensIT_Occ_Wk1</t>
  </si>
  <si>
    <t>D1_Edu_Lab_Occ_WK1</t>
  </si>
  <si>
    <t>D1_Edu_Lab_Occ_Wk2</t>
  </si>
  <si>
    <t>D1_Edu_Plant_Occ_WK1</t>
  </si>
  <si>
    <t>D1_Edu_Plant_Occ_Wk2</t>
  </si>
  <si>
    <t>D1_Edu_Reception_Occ_WK1</t>
  </si>
  <si>
    <t>D1_Edu_Reception_Occ_Wk2</t>
  </si>
  <si>
    <t>D1_Edu_Store_Occ_WK1</t>
  </si>
  <si>
    <t>D1_Edu_Store_Occ_Wk2</t>
  </si>
  <si>
    <t>D1_Edu_Swim_Occ_WK1</t>
  </si>
  <si>
    <t>D1_Edu_Swim_Occ_Wk2</t>
  </si>
  <si>
    <t>D1_Edu_Toilet_Occ_WK1</t>
  </si>
  <si>
    <t>D1_Edu_Toilet_Occ_Wk2</t>
  </si>
  <si>
    <t>D1_Edu_WkshpSS_Occ_Wk1</t>
  </si>
  <si>
    <t>D1_Edu_WkshpSS_Occ_Wk2</t>
  </si>
  <si>
    <t>Teaching Areas</t>
  </si>
  <si>
    <t>D1_Edu_ClassRm_Occ_Wk2</t>
  </si>
  <si>
    <t>D1_Edu_ClassRm_Occ_WK1</t>
  </si>
  <si>
    <t>D1_Edu_CellOff_Occ_WK1</t>
  </si>
  <si>
    <t>D1_Edu_CellOff_Occ_Wk2</t>
  </si>
  <si>
    <t>C2A Secure Residential Institutions</t>
  </si>
  <si>
    <t>Prison_Cell_Occ_WK1</t>
  </si>
  <si>
    <t>Prison_Store_Occ_WK1</t>
  </si>
  <si>
    <t>Prison_Circulation_Occ_WK1</t>
  </si>
  <si>
    <t>Prison_Toilet_Occ_WK1</t>
  </si>
  <si>
    <t>Prison_Reception_Occ_WK1</t>
  </si>
  <si>
    <t>Prison_DrySptHall_Occ_WK1</t>
  </si>
  <si>
    <t>Prison_Changing_Occ_WK1</t>
  </si>
  <si>
    <t>Prison_Lecture_Occ_WK1</t>
  </si>
  <si>
    <t>Prison_EatDrink_Occ_WK1</t>
  </si>
  <si>
    <t>Prison_Bath_Occ_WK1</t>
  </si>
  <si>
    <t>Prison_Plant_Occ_WK1</t>
  </si>
  <si>
    <t>Prison_WkshpSS_Occ_WK1</t>
  </si>
  <si>
    <t>Prison_Laund_Occ_Wk1</t>
  </si>
  <si>
    <t>Prison_FitGym_Occ_Wk1</t>
  </si>
  <si>
    <t>Prison_ClassRm_Occ_WK1</t>
  </si>
  <si>
    <t>Prison_CellOff_Occ_WK1</t>
  </si>
  <si>
    <t>Prison_FoodPrep_Occ_WK1</t>
  </si>
  <si>
    <t>C2 Residential Institutions - Residential schools</t>
  </si>
  <si>
    <t>C2_Schools_EatDrink_Occ_WK1</t>
  </si>
  <si>
    <t>C2_Schools_EatDrink_Occ_Wk2</t>
  </si>
  <si>
    <t>C2_Schools_FoodPrep_Occ_WK1</t>
  </si>
  <si>
    <t>C2_Schools_FoodPrep_Occ_Wk2</t>
  </si>
  <si>
    <t>C2_Schools_Bed_Occ_Wk2</t>
  </si>
  <si>
    <t>C2_Schools_Bed_Occ_Wk1</t>
  </si>
  <si>
    <t>C2_Schools_Bath_Occ_Wk1</t>
  </si>
  <si>
    <t>C2_Schools_Bath_Occ_Wk2</t>
  </si>
  <si>
    <t>Residents common rooms</t>
  </si>
  <si>
    <t>C2_Schools_CommunalArea_Occ_Wk1</t>
  </si>
  <si>
    <t>C2_Schools_CommunalArea_Occ_Wk2</t>
  </si>
  <si>
    <t>C2_Schools_Laund_Occ_WK1</t>
  </si>
  <si>
    <t>C2_Schools_Laund_Occ_Wk2</t>
  </si>
  <si>
    <t>C2 Residential Institutions - Universities and colleges</t>
  </si>
  <si>
    <t>Uni_Bath_Occ_Wk1</t>
  </si>
  <si>
    <t>Uni_Bath_Occ_Wk2</t>
  </si>
  <si>
    <t>Uni_Bed_Occ_Wk2</t>
  </si>
  <si>
    <t>Uni_Bed_Occ_Wk1</t>
  </si>
  <si>
    <t>Uni_Changing_Occ_Wk1</t>
  </si>
  <si>
    <t>Uni_Changing_Occ_Wk2</t>
  </si>
  <si>
    <t>Uni_Circulation_Occ_Wk1</t>
  </si>
  <si>
    <t>Uni_Circulation_Occ_Wk2</t>
  </si>
  <si>
    <t>Uni_ClassRm_Occ_Wk2</t>
  </si>
  <si>
    <t>Uni_ClassRm_Occ_Wk1</t>
  </si>
  <si>
    <t>Uni_CommunalArea_Occ_Wk1</t>
  </si>
  <si>
    <t>Uni_CommunalArea_Occ_Wk2</t>
  </si>
  <si>
    <t>Uni_DrySptHall_Occ_Wk1</t>
  </si>
  <si>
    <t>Uni_DrySptHall_Occ_Wk2</t>
  </si>
  <si>
    <t>Uni_EatDrink_Occ_Wk1</t>
  </si>
  <si>
    <t>Uni_EatDrink_Occ_Wk2</t>
  </si>
  <si>
    <t>Uni_FitGym_Occ_Wk1</t>
  </si>
  <si>
    <t>Uni_FitGym_Occ_Wk2</t>
  </si>
  <si>
    <t>Uni_FoodPrep_Occ_Wk1</t>
  </si>
  <si>
    <t>Uni_FoodPrep_Occ_Wk2</t>
  </si>
  <si>
    <t>Uni_Lecture_Occ_Wk1</t>
  </si>
  <si>
    <t>Uni_Lecture_Occ_Wk2</t>
  </si>
  <si>
    <t>Uni_HighDensIT_Occ_Wk1</t>
  </si>
  <si>
    <t>Uni_HighDensIT_Occ_Wk2</t>
  </si>
  <si>
    <t>Uni_Lab_Occ_Wk1</t>
  </si>
  <si>
    <t>Uni_Lab_Occ_Wk2</t>
  </si>
  <si>
    <t>Uni_Laund_Occ_Wk1</t>
  </si>
  <si>
    <t>Uni_Plant_Occ_Wk1</t>
  </si>
  <si>
    <t>Uni_Plant_Occ_Wk2</t>
  </si>
  <si>
    <t>Uni_Reception_Occ_Wk1</t>
  </si>
  <si>
    <t>Uni_Reception_Occ_Wk2</t>
  </si>
  <si>
    <t>Uni_Store_Occ_Wk1</t>
  </si>
  <si>
    <t>Uni_Store_Occ_Wk2</t>
  </si>
  <si>
    <t>Uni_Swim_Occ_Wk1</t>
  </si>
  <si>
    <t>Uni_Swim_Occ_Wk2</t>
  </si>
  <si>
    <t>Residents kitchen</t>
  </si>
  <si>
    <t>Uni_Tea_Occ_Wk1</t>
  </si>
  <si>
    <t>Uni_Tea_Occ_Wk2</t>
  </si>
  <si>
    <t>Uni_Toilet_Occ_Wk1</t>
  </si>
  <si>
    <t>Uni_Toilet_Occ_Wk2</t>
  </si>
  <si>
    <t>Uni_WkshpSS_Occ_Wk1</t>
  </si>
  <si>
    <t>Uni_WkshpSS_Occ_Wk2</t>
  </si>
  <si>
    <t>Uni_CellOff_Occ_Wk1</t>
  </si>
  <si>
    <t>Uni_CellOff_Occ_Wk2</t>
  </si>
  <si>
    <t>Warehouse sales area - general</t>
  </si>
  <si>
    <t>Warehouse sales area - chilled</t>
  </si>
  <si>
    <t>Warehouse sales area - electrical</t>
  </si>
  <si>
    <t>Hotel_Bath_Occ_WK1</t>
  </si>
  <si>
    <t>Hosp_CirculationPub_Occ_Wk1</t>
  </si>
  <si>
    <t>Others - Car Parks 24 hrs</t>
  </si>
  <si>
    <t>CarPark_Circulation_Occ_WK1</t>
  </si>
  <si>
    <t>CarPark_Plant_Occ_WK1</t>
  </si>
  <si>
    <t>CarPark_Toilet_Occ_WK1</t>
  </si>
  <si>
    <t>Car Park</t>
  </si>
  <si>
    <t>CarPark_CarPark_Occ_WK1</t>
  </si>
  <si>
    <t>CarPark_Office_Occ_WK1</t>
  </si>
  <si>
    <t>Ret_CarPark_Occ_WK1</t>
  </si>
  <si>
    <t>Office_CarPark_Occ_WK1</t>
  </si>
  <si>
    <t>Display window</t>
  </si>
  <si>
    <t>Ret_Display_Occ_Wk1</t>
  </si>
  <si>
    <t>Display area</t>
  </si>
  <si>
    <t>LibMusGall_Display_Occ_WK1</t>
  </si>
  <si>
    <t>Others - Stand alone utility block</t>
  </si>
  <si>
    <t>Heavy Plant Room</t>
  </si>
  <si>
    <t>24x7 Warehouse storage</t>
  </si>
  <si>
    <t>Ware_24x7WareStore_Occ_Wk1</t>
  </si>
  <si>
    <t>24x7 Generic Office Area</t>
  </si>
  <si>
    <t>Ware_24x7CellOff_Occ_Wk1</t>
  </si>
  <si>
    <t>Dept Store Sales area - general</t>
  </si>
  <si>
    <t>Ret_DeptStore_Sales_Occ_Wk1</t>
  </si>
  <si>
    <t>Dept Store Sales area - chilled</t>
  </si>
  <si>
    <t>Ret_DeptStore_SalesChill_Occ_Wk1</t>
  </si>
  <si>
    <t>Dept Store Sales area - electrical</t>
  </si>
  <si>
    <t>Ret_DeptStore_SalesElectric_Occ_Wk1</t>
  </si>
  <si>
    <t>Retail Warehouse Sales area - general</t>
  </si>
  <si>
    <t>RetWarehouse_Sales_Occ_Wk1</t>
  </si>
  <si>
    <t>Retail Warehouse Sales area - chilled</t>
  </si>
  <si>
    <t>RetWarehouse_SalesChill_Occ_Wk1</t>
  </si>
  <si>
    <t>Retail Warehouse Sales area - electrical</t>
  </si>
  <si>
    <t>RetWarehouse_SalesElectric_Occ_Wk1</t>
  </si>
  <si>
    <t>Building occupation data</t>
  </si>
  <si>
    <t>User</t>
  </si>
  <si>
    <t>Gender ratio</t>
  </si>
  <si>
    <t>Component uses/person/day (unless stated differently for specific uses or activity areas)</t>
  </si>
  <si>
    <t>Usage factors</t>
  </si>
  <si>
    <t>Adjustment factors</t>
  </si>
  <si>
    <t>Microcomponent Performance Levels for BREEAM water consumption method benchmarking</t>
  </si>
  <si>
    <t>Building category and main activity area/function</t>
  </si>
  <si>
    <t>Description</t>
  </si>
  <si>
    <t>Occupant density (person/m2)</t>
  </si>
  <si>
    <t>No. days/yr building occupied</t>
  </si>
  <si>
    <t>default daily hrs of operation</t>
  </si>
  <si>
    <t>Type</t>
  </si>
  <si>
    <t>Ratio male users</t>
  </si>
  <si>
    <t>Ratio female users</t>
  </si>
  <si>
    <t>WC - male (urinals installed)</t>
  </si>
  <si>
    <t>WC - male (no urinals installed)</t>
  </si>
  <si>
    <t>WC - female</t>
  </si>
  <si>
    <t>Urinal</t>
  </si>
  <si>
    <t>Wash hand basin taps</t>
  </si>
  <si>
    <t>Shower use</t>
  </si>
  <si>
    <t>Shower use (bath present)</t>
  </si>
  <si>
    <t xml:space="preserve">Bath use (no shower present) </t>
  </si>
  <si>
    <t>Bath use (shower present)</t>
  </si>
  <si>
    <t>Kitchen taps - kitchenette</t>
  </si>
  <si>
    <t>Kitchen taps - pre-rinse nozzle</t>
  </si>
  <si>
    <t>blank column</t>
  </si>
  <si>
    <t>Dishwasher</t>
  </si>
  <si>
    <t>Washing machine</t>
  </si>
  <si>
    <t>Waste disposal unit</t>
  </si>
  <si>
    <t>Fixed use - vessel filling</t>
  </si>
  <si>
    <t>Fixed use - food preparation</t>
  </si>
  <si>
    <t>Fixed use - kitchen cleaning</t>
  </si>
  <si>
    <t>WC (factor of use</t>
  </si>
  <si>
    <t>Urinals (factor of use)</t>
  </si>
  <si>
    <t>Wash hand basin taps (mins/use)</t>
  </si>
  <si>
    <t>Showers (no bath present) - mins/use</t>
  </si>
  <si>
    <t>Showers (bath present) mins/use</t>
  </si>
  <si>
    <t>Bath (No shower present) ratio</t>
  </si>
  <si>
    <t>Bath (shower present) ratio</t>
  </si>
  <si>
    <t>Kitchen taps - kitchenette mins/day</t>
  </si>
  <si>
    <t>blank</t>
  </si>
  <si>
    <t>Waste dispoal unit</t>
  </si>
  <si>
    <t>Baths</t>
  </si>
  <si>
    <t>Taps</t>
  </si>
  <si>
    <t>Component</t>
  </si>
  <si>
    <t>Baseline</t>
  </si>
  <si>
    <t>Level 1</t>
  </si>
  <si>
    <t>Level 2</t>
  </si>
  <si>
    <t>Level 3</t>
  </si>
  <si>
    <t>Level 4</t>
  </si>
  <si>
    <t>Level 5</t>
  </si>
  <si>
    <t>Unit</t>
  </si>
  <si>
    <t>BREEAM credit benchmarks Other</t>
  </si>
  <si>
    <t>BREEAM credit benchmarks Education</t>
  </si>
  <si>
    <t>BREEAM credit benchmarks Industrial</t>
  </si>
  <si>
    <t>BREEAM credit benchmarks Retail</t>
  </si>
  <si>
    <t>BREEAM credit benchmarks Office</t>
  </si>
  <si>
    <t>Sources of data/information</t>
  </si>
  <si>
    <t>Office</t>
  </si>
  <si>
    <t>Offices and workshop business (including those with a basic (category 1) laboratory area)</t>
  </si>
  <si>
    <t>-</t>
  </si>
  <si>
    <t>Staff</t>
  </si>
  <si>
    <t>N/A</t>
  </si>
  <si>
    <t>Effective flush volume (litres)</t>
  </si>
  <si>
    <t>0 credits</t>
  </si>
  <si>
    <t>SD129: Certification and Listing of Low Flush WC appliances</t>
  </si>
  <si>
    <t>Office - Office areas</t>
  </si>
  <si>
    <t>Cellular or open plan office space, including staff kitchen where present/adjacent and reception areas. Exlcude meeting rooms, visitor waiting or circulation areas.</t>
  </si>
  <si>
    <t>1 credit</t>
  </si>
  <si>
    <t xml:space="preserve">Waterwise </t>
  </si>
  <si>
    <t>Office - Staff canteen dining area</t>
  </si>
  <si>
    <t>Seated dining areas that accompany a permanently staffed kitchen preparing food for consumption on the premises (excludes small un-staffed kitchen's used by office staff to re-heat food, make tea etc.)</t>
  </si>
  <si>
    <t>see usage factor</t>
  </si>
  <si>
    <t>2 credits</t>
  </si>
  <si>
    <t>Water efficient product labelling scheme</t>
  </si>
  <si>
    <t>Office - Small workshop / laboratory space</t>
  </si>
  <si>
    <t>Small scale workshop or category 1 laboratory area</t>
  </si>
  <si>
    <t>Volume (litres/min)</t>
  </si>
  <si>
    <t>3 credits</t>
  </si>
  <si>
    <t>Water Supply (water fittings) Regulations 1999: WC Suite Performance Specifications</t>
  </si>
  <si>
    <t>Office - Fitness suite/gym (with changing facility and showers)</t>
  </si>
  <si>
    <t>A fitness suite or gym that is part of the office building/development  and used by the building's employees only. The gym will have its own changing facility with showers.</t>
  </si>
  <si>
    <t>Showers</t>
  </si>
  <si>
    <t>4 credits</t>
  </si>
  <si>
    <t>(Very early) Draft BS8542</t>
  </si>
  <si>
    <t>Industrial - 24hr x 7 day operation</t>
  </si>
  <si>
    <t>General and specialist industrial and warehouse and storage units operating 24 hours a day 7 days a week.</t>
  </si>
  <si>
    <t>Volume (litres)</t>
  </si>
  <si>
    <t>5 credits</t>
  </si>
  <si>
    <t>SD174: Certification and Listing of Water Efficient Terminal Fittings (table 2.0)</t>
  </si>
  <si>
    <t>Industrial - typical business hours of operation</t>
  </si>
  <si>
    <t>Urinal (2 or more urinals) - Automatically operated flushing cistern</t>
  </si>
  <si>
    <t>Volume (litres/bowl/hour)</t>
  </si>
  <si>
    <t>Exemplary level</t>
  </si>
  <si>
    <t>CLG Water Calculation Method for New Dwelling</t>
  </si>
  <si>
    <t>Industrial - Process area</t>
  </si>
  <si>
    <t>Main process based operational/manufacturing/workshop area</t>
  </si>
  <si>
    <t>Urinal (1 urinal only) - Automatically operated flushing cistern</t>
  </si>
  <si>
    <t>Conserving Water in Buildings - Environment Agency</t>
  </si>
  <si>
    <t>Industrial - Laboratory area</t>
  </si>
  <si>
    <t>Large or small category 1 laboratory area.</t>
  </si>
  <si>
    <t>Urinal - Manual/automatic operated pressure flushing valve</t>
  </si>
  <si>
    <t>Volume (Litres/flush/bowl)</t>
  </si>
  <si>
    <t xml:space="preserve">SD175 Certification and Listing of Water Efficient Baths </t>
  </si>
  <si>
    <t>Industrial - Warehouse storage</t>
  </si>
  <si>
    <t>Permanently or intermittently occupied warehouse storage areas.</t>
  </si>
  <si>
    <t>Greywater/rainwater system</t>
  </si>
  <si>
    <t>% of WC/urinal flushing demand (generated by same level microcomponent specification) met by specified grey/rainwater system</t>
  </si>
  <si>
    <t>BNWAT07: Baths - water efficiency performance tests Version 2.0</t>
  </si>
  <si>
    <t>Industrial - Office areas</t>
  </si>
  <si>
    <t>CLG Research to Assess the Costs and Benefits of Improvements to the Water Efficiency of New Non-household Buildings (BD2683), 2009.</t>
  </si>
  <si>
    <t>Industrial - Staff canteen dining area</t>
  </si>
  <si>
    <t>Waterwise 2007 Dishwasher rankings</t>
  </si>
  <si>
    <t>Industrial - Fitness suite/gym (with changing facility and showers)</t>
  </si>
  <si>
    <t>Domestic sized dishwashers</t>
  </si>
  <si>
    <t>Volume (litres/cycle)</t>
  </si>
  <si>
    <t>Waterwise 2007 Washing machine rankings</t>
  </si>
  <si>
    <t xml:space="preserve">Education - Pre-schools </t>
  </si>
  <si>
    <t>Non-residential pre-school and primary schools.</t>
  </si>
  <si>
    <t>Pupils/staff</t>
  </si>
  <si>
    <t>Domestic sized washing machines</t>
  </si>
  <si>
    <t>Volume (litres/use)</t>
  </si>
  <si>
    <t>Water UK - Macerators, the impact on sewers http://www.water.org.uk/home/policy/positions/waste-macerators-position-paper</t>
  </si>
  <si>
    <t>Education - Schools and colleges</t>
  </si>
  <si>
    <t>Non-residential secondary schools, academies and all-age range schools</t>
  </si>
  <si>
    <t>Water Efficient Buildings, water and planning, guidance for planners http://www.water-efficient-buildings.org.uk/</t>
  </si>
  <si>
    <t>Education - Universities</t>
  </si>
  <si>
    <t>Non-residential further education colleges</t>
  </si>
  <si>
    <t>Staff/students</t>
  </si>
  <si>
    <t>Commercial sized dishwashers</t>
  </si>
  <si>
    <t>Volume (litres/rack)</t>
  </si>
  <si>
    <t>AECB Water Standards vol 2.</t>
  </si>
  <si>
    <t>Education - Higher education institutions</t>
  </si>
  <si>
    <t>Non-residential higher education learning resource centres/teaching facility only</t>
  </si>
  <si>
    <t>Commercial/Industrial sized washing machines</t>
  </si>
  <si>
    <t>Volume (litres/kg)</t>
  </si>
  <si>
    <t>Enahnced Capital Allowance Water Technology List criteria</t>
  </si>
  <si>
    <t>BNWAT22: Domestic water consumption in domestic and non-domestic properties</t>
  </si>
  <si>
    <t>Education - Staff office and adminstration areas</t>
  </si>
  <si>
    <t>Cellular or open plan office space, including staff rooms and staff kitchen where present/adjacent and reception areas (including library reception desk areas if present). Exlcudes meeting rooms, visitor waiting or circulation areas and other such spaces not permanently occupied.</t>
  </si>
  <si>
    <t>National Statistics, DfE: School Workforce in England, November 2010 (statistical first release)</t>
  </si>
  <si>
    <t>Education - Common room</t>
  </si>
  <si>
    <t>Student common room.</t>
  </si>
  <si>
    <t>Building Bulletin 99 (2nd Edition), Briefing Framework for Primary School Projects</t>
  </si>
  <si>
    <t>Education - dining area</t>
  </si>
  <si>
    <t>Seated dining areas that accompany a permanently staffed kitchen preparing food for consumption on the premises (excludes small un-staffed kitchen's used by staff to re-heat food, make tea etc.)</t>
  </si>
  <si>
    <t>Building Bulletin 98 (2nd Edition), Briefing Framework for Secondary School Projects</t>
  </si>
  <si>
    <t>The Building Regulations 2000 Approved Document B Fire Safety</t>
  </si>
  <si>
    <t>Education - Lecture theatre</t>
  </si>
  <si>
    <t>Lecture theatre with permanent seating and/or stage used by lecturers and/or for staged performances.</t>
  </si>
  <si>
    <t>Employment Densities, a full guide, Arup Economics and Planning, 2001 (produced for English Partnerships and Regional Development Agencies)</t>
  </si>
  <si>
    <t>Education - Study area</t>
  </si>
  <si>
    <t>Study/write-up area in sixth form, further and/or Higer Education colleges.</t>
  </si>
  <si>
    <t>Education - Workshop</t>
  </si>
  <si>
    <t>Small scale workshop type space used for practical/vocational demonstrations/learning.</t>
  </si>
  <si>
    <t>Education - Information Technology space</t>
  </si>
  <si>
    <t>Laboratory/room containing I.T equipment and used for teaching/research related to information technology</t>
  </si>
  <si>
    <t>Education - Laboratory</t>
  </si>
  <si>
    <t>Laboratory space for teaching/learning related to science based subjects.</t>
  </si>
  <si>
    <t>Retail - Shop / retail unit(s) / retail warehouse</t>
  </si>
  <si>
    <t xml:space="preserve">Shops: shop/retail unit(s)/retail warehouse(s). </t>
  </si>
  <si>
    <t>Customer</t>
  </si>
  <si>
    <t>Retail - Supermarket</t>
  </si>
  <si>
    <t>Shops: supermarket</t>
  </si>
  <si>
    <t>Customers</t>
  </si>
  <si>
    <t>Retail - Service provider</t>
  </si>
  <si>
    <t xml:space="preserve">Financial and professional services - Financial services such as banks and building societies, professional services (other than health and medical services) including estate and employment agencies and betting offices. 
</t>
  </si>
  <si>
    <t>BREEAM credit benchmarks for Precipitation Zone 2</t>
  </si>
  <si>
    <t>BREEAM credit benchmarks for Precipitation Zone 3</t>
  </si>
  <si>
    <t>Retail - Shopping centre/complex</t>
  </si>
  <si>
    <t>Mixture of shops, professional services.</t>
  </si>
  <si>
    <t>Retail - sales areas for display of bulky items</t>
  </si>
  <si>
    <t>A retail sales/display area trading predominantly in bulky items, e.g. furniture, floor coverings, cycles, prams, large domestic appliances or other bulky goods, or trading on a wholesale self-selection basis.</t>
  </si>
  <si>
    <t>Retail - sales areas for display of non bulky items and/or customer service area.</t>
  </si>
  <si>
    <t>A general sales/display areas in department stores, supermarkets, shops and/or customer service waiting and/or collection areas e.g. in banks, post office, bookmakers etc.</t>
  </si>
  <si>
    <t>Retail - concourse/shopping mall</t>
  </si>
  <si>
    <t>The central (shared) area within a shopping centre used for access by shoppers (typically a covered area containing one or more of benches, cafes, escalators etc.)</t>
  </si>
  <si>
    <t>Retail - Staff office area and staffroom</t>
  </si>
  <si>
    <t>Staff office space and staffroom, often located in 'back of house' areas.</t>
  </si>
  <si>
    <t>Retail - Staff canteen dining area</t>
  </si>
  <si>
    <t>Seated areas in a staff canteen that accompany a food preparation areas where food and drink is consumed by staff on the premises.</t>
  </si>
  <si>
    <t>Retail - Goods-in and storage area</t>
  </si>
  <si>
    <t>Internal areas for receiving and storing goods.</t>
  </si>
  <si>
    <t>Retail - Workshop</t>
  </si>
  <si>
    <t>A workshop / vehicle servicing area within a car showroom or general workshop in other type of retail development.</t>
  </si>
  <si>
    <t>Restaurants and cafés</t>
  </si>
  <si>
    <t xml:space="preserve">Restaurants and cafés - For the sale of food and drink for consumption on the premises - restaurants, snack bars and cafes. </t>
  </si>
  <si>
    <t>Restaurants and cafés - Eating and drinking area</t>
  </si>
  <si>
    <t>Seated areas that accompany a food preparation areas where food and drink is consumed by customers on the premises (includes customer service/counter areas)</t>
  </si>
  <si>
    <t>Restaurants and cafés - Food preparation area</t>
  </si>
  <si>
    <t>Kitchen areas in cafes/restaurants contained within the development used to prepare food for customers</t>
  </si>
  <si>
    <t>Restaurants and cafés - Office area</t>
  </si>
  <si>
    <t>Generic office space used by staff</t>
  </si>
  <si>
    <t>Should we have fixed use in the baseline for waste disposal, showers and pre-rinse taps regardless of whether they're specified in actual building.</t>
  </si>
  <si>
    <t>Should litres/meal be adjusted to account for fact not three courses?</t>
  </si>
  <si>
    <t>A4 Drinking establishments</t>
  </si>
  <si>
    <t>A5 Hot food takeaways</t>
  </si>
  <si>
    <t>B1 Business - Workshop/light industry</t>
  </si>
  <si>
    <t>B2 General industrial - process/manufacturing unit</t>
  </si>
  <si>
    <t>B8 Storage or distribution - Warehouse unit</t>
  </si>
  <si>
    <t>Hotels</t>
  </si>
  <si>
    <t>Occupant density  (person/room)</t>
  </si>
  <si>
    <t>kg/ room/ night</t>
  </si>
  <si>
    <t>Hotel - Bedroom</t>
  </si>
  <si>
    <t>Hotel - Staff</t>
  </si>
  <si>
    <t>Hotel - restaurant</t>
  </si>
  <si>
    <t>C1 Boarding and guest houses</t>
  </si>
  <si>
    <t>Hospital</t>
  </si>
  <si>
    <t>Care home</t>
  </si>
  <si>
    <t>Sheltered accommodation</t>
  </si>
  <si>
    <t>Hall of residence</t>
  </si>
  <si>
    <t>Prison houseblock</t>
  </si>
  <si>
    <t>C2A Secure Residential Institution - Secure local authority accommodation</t>
  </si>
  <si>
    <t>C2A Secure Residential Institution - Military barracks</t>
  </si>
  <si>
    <t>D1 Non-residential Institutions - Library</t>
  </si>
  <si>
    <t>D1 Non-residential Institutions - Museum or Gallery</t>
  </si>
  <si>
    <t>D1 Non-residential Institutions - Community centre, day centre or place of worship</t>
  </si>
  <si>
    <t>D1 Non-residential Institutions - Creche</t>
  </si>
  <si>
    <t>D1 Non-residential Institutions - School</t>
  </si>
  <si>
    <t>D1 Non-residential Institutions - Further/ Higher education building or training centre</t>
  </si>
  <si>
    <t>D2 General Assembly and Leisure - Theatre or cinema</t>
  </si>
  <si>
    <t>D2 General Assembly and Leisure - leisure centre/gym</t>
  </si>
  <si>
    <t>D2 General Assembly and Leisure -Swimming pool</t>
  </si>
  <si>
    <t>D2 General Assembly and Leisure - Night Club or dance hall</t>
  </si>
  <si>
    <t>Other - Bus/train stations</t>
  </si>
  <si>
    <t>Other - Emergency services</t>
  </si>
  <si>
    <t>Other - Telephone exchanges</t>
  </si>
  <si>
    <t>Other - Car Parks 24 hrs</t>
  </si>
  <si>
    <t>Other - Stand alone utility block</t>
  </si>
  <si>
    <t>Other - Petrol stations</t>
  </si>
  <si>
    <t>Other - Hostel</t>
  </si>
  <si>
    <t>Other - motor vehicle showroom</t>
  </si>
  <si>
    <t>Other - Launderette</t>
  </si>
  <si>
    <t>BREEAM International 2016 / Version 6 Wat 01 Water consumption calculator - Office buildings</t>
  </si>
  <si>
    <t>Building details</t>
  </si>
  <si>
    <t>Key</t>
  </si>
  <si>
    <t>Cells that are white with a black border require user input (data entry/option selection)</t>
  </si>
  <si>
    <t>Building name</t>
  </si>
  <si>
    <t>Cells that are light grey contain fixed data or a formula and do not require any user input</t>
  </si>
  <si>
    <t>Cells that are dark grey are user input cells which are not applicable due to either building type or user input/option selection or default setting. Note these cells can change to ones requiring user input depending on the users option selection in other cells.</t>
  </si>
  <si>
    <t>BRE Assessment Reference No.</t>
  </si>
  <si>
    <t>&gt;</t>
  </si>
  <si>
    <t>A red arrow indicates that option selection or mandatory data entry is required in one of the cells on the row where this arrow appears. Without appropriate selection/data the calculator will not be able to determine the number of BREEAM credits. Where the term "Requires building information" appears check to make sure there are no red arrows indicating an absence of option selection or data entry.</t>
  </si>
  <si>
    <t>Precipitation zone:</t>
  </si>
  <si>
    <t>Please select</t>
  </si>
  <si>
    <t>Building type</t>
  </si>
  <si>
    <t>Description of building type</t>
  </si>
  <si>
    <t>Default occupancy</t>
  </si>
  <si>
    <t>Default annual days/operation</t>
  </si>
  <si>
    <t>Default daily hours of operation</t>
  </si>
  <si>
    <t>Main building activity areas</t>
  </si>
  <si>
    <t>Description of activity area</t>
  </si>
  <si>
    <t>Activity area present in building?</t>
  </si>
  <si>
    <r>
      <t>Net Floor Area (m</t>
    </r>
    <r>
      <rPr>
        <vertAlign val="superscript"/>
        <sz val="10"/>
        <color indexed="9"/>
        <rFont val="Calibri"/>
        <family val="2"/>
      </rPr>
      <t>2</t>
    </r>
    <r>
      <rPr>
        <sz val="10"/>
        <color indexed="9"/>
        <rFont val="Calibri"/>
        <family val="2"/>
      </rPr>
      <t>)</t>
    </r>
  </si>
  <si>
    <t>Note: the  activity areas defined opposite are used to estimate the assessed building's default occupancy and therefore water consumption benchmark. These areas are chosen as they are deemed, by in large, to represent the permanently occupied spaces in the building and therefore reflect the number of building occupants/users. As a result it is not necessary to include all areas of the building that may be present, as the areas not defined are assumed to be used by the occupants of the building already accounted for by those areas that are listed.</t>
  </si>
  <si>
    <t>Note: Only select this activity if there is a permanently staffed kitchen that will prepare hot and cold meals for the building's staff (and visitors). Enter the area of the seated dining area only (not kitchen/servery areas), this is used to estimate the number of covers per day for the restaurant and subsequently the number of kitchen staff and water consumption from food preparation activity area.</t>
  </si>
  <si>
    <t>Water Consumption - Building Microcomponent</t>
  </si>
  <si>
    <t>WC component - all activity areas</t>
  </si>
  <si>
    <t>units</t>
  </si>
  <si>
    <t>Specification</t>
  </si>
  <si>
    <t>Usage/person/day</t>
  </si>
  <si>
    <t>Usage factor</t>
  </si>
  <si>
    <t>Consumption (L/person/day)</t>
  </si>
  <si>
    <t>Baseline 
Performance Specification</t>
  </si>
  <si>
    <t>Baseline Consumption (L/person/day)</t>
  </si>
  <si>
    <t>Effective flush volume (Litres)</t>
  </si>
  <si>
    <t>Note: Where the WC facilities are non-gender specific, please still enter the WC specification against both WC male and WC female categories i.e. if there are two WCs with a 6 litre effective flush, then enter 6 litres against both male and female categories. The calculation will not double count water consumption in this instance as the consumption figure calculated for each WC component is adjusted by the ratio of male to female users for this building type.</t>
  </si>
  <si>
    <t>Urinal component - all activity areas</t>
  </si>
  <si>
    <t>No. of cisterns</t>
  </si>
  <si>
    <t>Flushing frequency (flushes/hour)</t>
  </si>
  <si>
    <t>Urinal consumption (L/bowl/day)</t>
  </si>
  <si>
    <t>Urinal consumption (L/day)</t>
  </si>
  <si>
    <t>Automatically operated flushing cistern</t>
  </si>
  <si>
    <t>Cistern capacity (Litres)</t>
  </si>
  <si>
    <t>No. of urinal bowls</t>
  </si>
  <si>
    <t>Manual/automatic operated pressure flushing valve (all activity areas)</t>
  </si>
  <si>
    <t>Flush volume (litres)</t>
  </si>
  <si>
    <t>Waterless urinals (all activity areas)</t>
  </si>
  <si>
    <t xml:space="preserve">Taps  components (personal hygiene) - all activity areas </t>
  </si>
  <si>
    <t>Baseline Performance Specification</t>
  </si>
  <si>
    <t>Flow rate (litres/min)</t>
  </si>
  <si>
    <t>Hide rows: N/A for offices</t>
  </si>
  <si>
    <t>Capacity to overflow (Litres)</t>
  </si>
  <si>
    <t>Litres/person/day</t>
  </si>
  <si>
    <t>Tap components (cleaning) - staff kitchenette</t>
  </si>
  <si>
    <t>Litres/cycle</t>
  </si>
  <si>
    <t>Tap components (cleaning and food preparation) - staff canteen food preparation area</t>
  </si>
  <si>
    <t>Litres/rack</t>
  </si>
  <si>
    <t>N/A for Offices</t>
  </si>
  <si>
    <t>Litres/kg dry load</t>
  </si>
  <si>
    <t>Microcomponent Consumption 
(L/person/day)</t>
  </si>
  <si>
    <t>Note: This total includes the contributions from fixed uses, including where applicable vessel filling, kitchen cleaning and food preparation. Default fixed use totals are included with the calculations to provide a more accurate reflection of the buildings total water consumption. The fixed use totals are not however included in the water consumption total used to determine the assessed buildings percentage improvement and the number of BREEAM credits achieved. The percentage improvement is based only on the consumption of water from uses that can be heavily influenced by the microcomponent specification e.g. WC flushing.</t>
  </si>
  <si>
    <t>Baseline Consumption (L/person/day) - exluding fixed uses</t>
  </si>
  <si>
    <t>Total</t>
  </si>
  <si>
    <t xml:space="preserve">Total </t>
  </si>
  <si>
    <t>Non Potable Water Yield - Greywater System</t>
  </si>
  <si>
    <t>Total from fixed uses</t>
  </si>
  <si>
    <t>Has, or will, the greywater system be specified and installed?</t>
  </si>
  <si>
    <t>No</t>
  </si>
  <si>
    <t>Greywater source (building components)</t>
  </si>
  <si>
    <t>Greywater Collected</t>
  </si>
  <si>
    <t>Proportion of components collected from (%)</t>
  </si>
  <si>
    <t>Greywater yield 
(L/person/day)</t>
  </si>
  <si>
    <t>Dishwasher - staff kitchenette</t>
  </si>
  <si>
    <t>Dishwasher - food preparation area</t>
  </si>
  <si>
    <t>Bath</t>
  </si>
  <si>
    <t>Greywater source (other components)</t>
  </si>
  <si>
    <t>Typical greywater yield (litres)</t>
  </si>
  <si>
    <t>Frequency of  yield (days)</t>
  </si>
  <si>
    <t>Greywater yield (litres/day)</t>
  </si>
  <si>
    <t>Other source of greywater</t>
  </si>
  <si>
    <t>Greywater yield
(L/person/day)</t>
  </si>
  <si>
    <t>Non Potable Water Yield - Rainwater System</t>
  </si>
  <si>
    <t>Has, or will, the rainwater system be specified and installed?</t>
  </si>
  <si>
    <t>How has the storage capacity for the proposed system been calculated?</t>
  </si>
  <si>
    <t>Rainwater yield if intermediate:</t>
  </si>
  <si>
    <t>Collection area (m2)</t>
  </si>
  <si>
    <t>Rainfall 
(average mm/yr)</t>
  </si>
  <si>
    <t>Hydraulic filter efficiency (%)</t>
  </si>
  <si>
    <t>Yield co-efficient (%)</t>
  </si>
  <si>
    <t>Annual rainwater yield (Litres)</t>
  </si>
  <si>
    <t>Rainwater yield
(L/person/day)</t>
  </si>
  <si>
    <t>Rainwater yield if detailed:</t>
  </si>
  <si>
    <t>Daily rainfall collection (litres)</t>
  </si>
  <si>
    <t>Rainwater yield 
(L/person/day)</t>
  </si>
  <si>
    <t>Non Potable Water Demand - Building Components</t>
  </si>
  <si>
    <t>Greywater and/or rainwater yield
(L/person/day)</t>
  </si>
  <si>
    <t>Greywater and/or rainwater utilised for component</t>
  </si>
  <si>
    <t>Proportion of components using greywater and/or rainwater yield (%)</t>
  </si>
  <si>
    <t>Maximum permissible demand (L/person/day)</t>
  </si>
  <si>
    <t>WC flushing</t>
  </si>
  <si>
    <t>Urinal flushing</t>
  </si>
  <si>
    <t>Demand met by yield
(L/person/day)</t>
  </si>
  <si>
    <t>Other permissible components</t>
  </si>
  <si>
    <t>Are there other permissible components present which demand greywater and/or rainwater yield?</t>
  </si>
  <si>
    <t>Maximum permissible demand (L/day)</t>
  </si>
  <si>
    <t>Proportion of maximum permissible demand utilised by other permissible components (%)</t>
  </si>
  <si>
    <t xml:space="preserve"> Demand met by yield
(L/person/day)</t>
  </si>
  <si>
    <t>Greywater and/or rainwater demand met by yield
(L/person/day)</t>
  </si>
  <si>
    <t>Water Consumption Calculation Results</t>
  </si>
  <si>
    <r>
      <t>m</t>
    </r>
    <r>
      <rPr>
        <vertAlign val="superscript"/>
        <sz val="10"/>
        <color indexed="9"/>
        <rFont val="Calibri"/>
        <family val="2"/>
      </rPr>
      <t>3</t>
    </r>
    <r>
      <rPr>
        <sz val="10"/>
        <color indexed="9"/>
        <rFont val="Calibri"/>
        <family val="2"/>
      </rPr>
      <t>/person/yr</t>
    </r>
  </si>
  <si>
    <t>Water consumption - modelled baseline performance benchmark (excludes fixed uses)</t>
  </si>
  <si>
    <t>Microcomponent Water consumption - modelled performance (excludes fixed uses)</t>
  </si>
  <si>
    <t>Modelled water demand met via greywater and rainwater sources</t>
  </si>
  <si>
    <t>If greywater/rainwater systems specified has the minimum % efficiency improvement for component specifications been met</t>
  </si>
  <si>
    <t>Greywater/rainwater data check</t>
  </si>
  <si>
    <t>Net modelled water consumption (excludes fixed uses)</t>
  </si>
  <si>
    <t>% actual improvement</t>
  </si>
  <si>
    <t>Percentage improvement</t>
  </si>
  <si>
    <t>Credits achieved</t>
  </si>
  <si>
    <t>Total Wat 01 BREEAM credits achieved</t>
  </si>
  <si>
    <t>Total Wat 01 BREEAM Innovation credits achieved</t>
  </si>
  <si>
    <t>Precipitation zones</t>
  </si>
  <si>
    <t>Key Performance Indicator - use of freshwater resource (includes fixed uses)</t>
  </si>
  <si>
    <t>Default occupancy rate</t>
  </si>
  <si>
    <t>Waterless urinals - specified</t>
  </si>
  <si>
    <t>Yes</t>
  </si>
  <si>
    <t>BS8515 Intermediate approach</t>
  </si>
  <si>
    <t>Precipitation zone 1</t>
  </si>
  <si>
    <t>Waterless urinals - not specified</t>
  </si>
  <si>
    <t>BS8515 Detailed approach</t>
  </si>
  <si>
    <t>Precipitation zone 2</t>
  </si>
  <si>
    <t>System not specified</t>
  </si>
  <si>
    <t>Precipitation zone 3</t>
  </si>
  <si>
    <t>Not applicable</t>
  </si>
  <si>
    <t>Requires building information</t>
  </si>
  <si>
    <t>Total default occupancy</t>
  </si>
  <si>
    <t>Note: If greywater is collected from a component/source not accounted for above i.e. their consumption is not estimated, then the amount of greywater collected can be added here so that it may be accounted for. This can include wastewater from active hygiene flushing, i.e. a regular hygiene flushing programme to minimize poor water quality in a potable cold or hot water system.</t>
  </si>
  <si>
    <t>Note: This consumption total accounts for the ratio of male users for this building type i.e. the ratio of building users who will operate the flush. Where more than one type of urinal flushing control is specified in the building, this consumption figure is adjusted by a ratio of use. the ratio is determined according to the proportion of urinals bowls in the building operated using this type of control.</t>
  </si>
  <si>
    <t>Note: Where waterless urinals are specified in the assessed building, for the purpose of the baseline benchmark standard 1.5 litre flush urinals are assumed. Where waterless urinals and another type of urinal flushing control is specified in the building, the baseline consumption figure calculated using a 1.5 litre default flush is adjusted by a ratio of use. The ratio is determined according to the proportion of urinals bowls in the building that are waterless.</t>
  </si>
  <si>
    <t>Note: Please select the relevant option for waterless urinals specification opposite.</t>
  </si>
  <si>
    <t>BREEAM International 2016 / Version 6 Wat 01 Water consumption calculator - Retail buildings</t>
  </si>
  <si>
    <t>Does the retail development contain sanitary facilities for use by visiting customers?</t>
  </si>
  <si>
    <t>Default daily occupancy visiting customers</t>
  </si>
  <si>
    <t>Default daily occupancy staff</t>
  </si>
  <si>
    <t>Note: Only select this activity if there is a permanently staffed kitchen that will prepare hot and cold meals for the building's staff. Enter the area of the seated dining area only (not kitchen/servery areas), this is used to estimate the number of covers per day and subsequently the default number of kitchen staff and water consumption from food preparation activity area.</t>
  </si>
  <si>
    <t>Hide rows: N/A for retail</t>
  </si>
  <si>
    <t>Tap components (cleaning and food preparation) - canteen/restaurant</t>
  </si>
  <si>
    <t>Default occupancy rate - customers</t>
  </si>
  <si>
    <t>Default occupancy rate - staff</t>
  </si>
  <si>
    <t>Total Wat01 BREEAM Innovation credits achieved</t>
  </si>
  <si>
    <t>Note: The consumption figures calculated here are based on water consumption for staff only (as the building does not contain facilities for visiting customers).</t>
  </si>
  <si>
    <t>Note: A default occupancy total for visiting customers is not calculated if facilities are not provided for this building user.</t>
  </si>
  <si>
    <t>Note: If this retail development contains one of or a combination of restaurants/cafes (for customer use), gym or cinema then please ensure you undertake separate water consumption calculations for such building functions using the appropriate building type calculator. You must then determine the number of BREEAM credits achieved for the development as a whole in accordance with the guidance given in the compliance note: "Building is a mixture of different types", contained within the Wat01 issue in the BREEAM New Construction technical guide.</t>
  </si>
  <si>
    <t>BREEAM International 2016 / Version 6 Wat 01 Water consumption calculator - Industrial buildings</t>
  </si>
  <si>
    <t>On average how many shifts are there likely to be during a single 24 hour period of operation?</t>
  </si>
  <si>
    <t>Will the staff restaurant operate for a 24hr period?</t>
  </si>
  <si>
    <t>N/A for Industrial</t>
  </si>
  <si>
    <t>Has, or will, the greywater system be specified and installed in compliance with BS8525-1:2010 Greywater Systems - Part 1 Code of Practice</t>
  </si>
  <si>
    <t>Has, or will, the rainwater system be specified and installed in compliance with BS8515:2009 Rainwater Harvesting Systems - Code of practice</t>
  </si>
  <si>
    <t>Note: the number of shifts is used to estimate the building's total occupancy and therefore water consumption. If unknown at the time assessment, then assume three shifts for a single 24 hour period.</t>
  </si>
  <si>
    <t>BREEAM International 2016 / Version 6 Wat 01 Water consumption calculator - Education buildings</t>
  </si>
  <si>
    <t>Default building occupancy</t>
  </si>
  <si>
    <t>Note: Only select this activity if there is a permanently staffed kitchen that will prepare hot and cold meals for the building's staff/students/pupils. Enter the area of the seated dining area only (not kitchen/servery areas), this is used to estimate the number of covers per day and subsequently the default number of kitchen staff and water consumption from food preparation activity area. If an assembly hall is used as a dining area, then enter the area of the assembly hall used for dining against this function.</t>
  </si>
  <si>
    <t>Hide rows: N/A for schools</t>
  </si>
  <si>
    <t>Tap components (cleaning and food preparation) - school canteen food preparation area</t>
  </si>
  <si>
    <t>BREEAM International 2016 / Version 6 Wat 01 Water consumption calculator - Other building types</t>
  </si>
  <si>
    <t>Please select the option that best defines the building type being assessed</t>
  </si>
  <si>
    <t>Please select:</t>
  </si>
  <si>
    <t>Please specify/describe the building type being assessed:</t>
  </si>
  <si>
    <t>Are urinals specified in this residential building type?</t>
  </si>
  <si>
    <t>What is the proportion of urinals to WCs (%)</t>
  </si>
  <si>
    <t>Please confirm the shower/bath arrangement for this residential building type</t>
  </si>
  <si>
    <t>A red arrow indicates that option selection or mandatory data entry is required in one of the cells on the row where this arrow appears. Without appropriate selection/data the calculator will not be able to determine the number of BREEAM credits. Where the term If the calculator does not confirm the number of credits achieved, check to make sure there are no red arrows indicating an absence of option selection or data entry.</t>
  </si>
  <si>
    <t>Water consumption - Building microcomponents</t>
  </si>
  <si>
    <t xml:space="preserve">WC </t>
  </si>
  <si>
    <t>Urinals</t>
  </si>
  <si>
    <t>Kitchen taps (staff/residents kitchen)</t>
  </si>
  <si>
    <t>Kitchen taps: restaurant (pre-rinse nozzles only)</t>
  </si>
  <si>
    <t>Waste disposal unit (commercial kitchens only)</t>
  </si>
  <si>
    <t>Commercial sized washing machines</t>
  </si>
  <si>
    <t>Component assessed for building type (if specified)</t>
  </si>
  <si>
    <t xml:space="preserve">Note: Some water consuming microcomponents covered by BREEAM are typically not present in some building types e.g. no baths will be specified in a law court, and therefore these components do not require assessment under Wat01 using this calculation method. The components applicable are indicated opposite. As a result the credits are assessed and awarded on the basis of the performance specification for the components that could potentially be specified (if the methodology confirms the component is applicable, but that component is not specified, then the user must confirm this in the relative cell opposite).
In some instances a component may be specified and present but its contribution to overall water consumption may be low, as a result its contribution to achieving BREEAM credits will be low. Likewise, those consuming a significant majority of the water use for a given building type will contribute a greater amount toward achieving BREEAM credits (depending on the component level achieved).This contribution can be checked for each applicable and specified component by referring to the component weighting factors, below. </t>
  </si>
  <si>
    <t>Please confirm if this component type is specified in the building and will be installed</t>
  </si>
  <si>
    <t>Not Specified</t>
  </si>
  <si>
    <t>Please select the number of different types of specification that you wish to enter for this component type?</t>
  </si>
  <si>
    <t>Type 1</t>
  </si>
  <si>
    <t>Please confirm the BREEAM water efficient component level achieved for this component - type 1</t>
  </si>
  <si>
    <t>Please confirm the no. of  type 1 components specified</t>
  </si>
  <si>
    <t>Type 1 - aggregate component level</t>
  </si>
  <si>
    <t>Type 2</t>
  </si>
  <si>
    <t>Please confirm the BREEAM water efficient component level achieved for this component - type 2</t>
  </si>
  <si>
    <t>Please confirm the no. of  type 2 components specified</t>
  </si>
  <si>
    <t>Type 2 - aggregate component level</t>
  </si>
  <si>
    <t>Type 3</t>
  </si>
  <si>
    <t>Please confirm the BREEAM water efficient component level achieved for this component - type 3</t>
  </si>
  <si>
    <t>Please confirm the no. of  type 3 components specified</t>
  </si>
  <si>
    <t>Type 3 - aggregate component level</t>
  </si>
  <si>
    <t>Type 4</t>
  </si>
  <si>
    <t>Please confirm the BREEAM water efficient component level achieved for this component - type 4</t>
  </si>
  <si>
    <t>Please confirm the no. of  type 4 components specified</t>
  </si>
  <si>
    <t>Type 4 - aggregate component level</t>
  </si>
  <si>
    <t>Type 5</t>
  </si>
  <si>
    <t>Please confirm the BREEAM water efficient component level achieved for this component - type 5</t>
  </si>
  <si>
    <t>Please confirm the no. of  type 5 components specified</t>
  </si>
  <si>
    <t>Type 5 - aggregate component level</t>
  </si>
  <si>
    <t>Type 6</t>
  </si>
  <si>
    <t>Please confirm the BREEAM water efficient component level achieved for this component - type 6</t>
  </si>
  <si>
    <t>Please confirm the no. of  type 6 components specified</t>
  </si>
  <si>
    <t>Type 6 - aggregate component level</t>
  </si>
  <si>
    <t>Type 7</t>
  </si>
  <si>
    <t>Please confirm the BREEAM water efficient component level achieved for this component - type 7</t>
  </si>
  <si>
    <t>Please confirm the no. of  type 7 components specified</t>
  </si>
  <si>
    <t>Type 7 - aggregate component level</t>
  </si>
  <si>
    <t>Type 8</t>
  </si>
  <si>
    <t>Please confirm the BREEAM water efficient component level achieved for this component - type 8</t>
  </si>
  <si>
    <t>Please confirm the no. of  type 8 components specified</t>
  </si>
  <si>
    <t>Type 8 - aggregate component level</t>
  </si>
  <si>
    <t>Total number of fittings for component</t>
  </si>
  <si>
    <t>Level achieved for component type</t>
  </si>
  <si>
    <t>Component weighting factor for building type</t>
  </si>
  <si>
    <t>Contribution to overall component level achieved</t>
  </si>
  <si>
    <t>Overall component level achieved</t>
  </si>
  <si>
    <t>Note: for the purpose of awarding credits this figure is rounded down to the nearest whole component level, e.g. if the total from the individual component levels is 0.7, then the component level achieved is 'Baseline', not Level 1.</t>
  </si>
  <si>
    <t>Non-Potable Water Yield - Water Recycling</t>
  </si>
  <si>
    <t>Greywater system specified and installed in compliance with BS8525-1:2010 Greywater Systems - Part 1 Code of Practice</t>
  </si>
  <si>
    <t>Rainwater system specified and installed in compliance with BS8515:2009 Rainwater Harvesting Systems - Code of practice</t>
  </si>
  <si>
    <t>Other permissible source of non potable recycled water</t>
  </si>
  <si>
    <t>Please give a brief description of source/system</t>
  </si>
  <si>
    <t>e.g. waste water from building process</t>
  </si>
  <si>
    <t>Please select from the drop down list below how you would like to assess performance of the specified system(s) and then enter the relevant % opposite:</t>
  </si>
  <si>
    <t>Note: input figure to two decimal places only.</t>
  </si>
  <si>
    <t xml:space="preserve">BREEAM component level achieved for water recycling </t>
  </si>
  <si>
    <t>Note: credits only available for achieving BREEAM component level 4 or 5 in the elemental method.</t>
  </si>
  <si>
    <t>Wat 01 Results</t>
  </si>
  <si>
    <t>Component weighting factors by building type</t>
  </si>
  <si>
    <t>WC</t>
  </si>
  <si>
    <t>Basin taps</t>
  </si>
  <si>
    <t>Shower</t>
  </si>
  <si>
    <t>Staff/residents Kitchen taps</t>
  </si>
  <si>
    <t>Domestic washing machine</t>
  </si>
  <si>
    <t>Domestic dishwasher</t>
  </si>
  <si>
    <t>Kitchen taps (pre-rinse nozzle</t>
  </si>
  <si>
    <t>Waste disposal</t>
  </si>
  <si>
    <t>Commercial Kitchen dishwasher</t>
  </si>
  <si>
    <t>Commercial Washing machine</t>
  </si>
  <si>
    <t>Units</t>
  </si>
  <si>
    <t>Information source</t>
  </si>
  <si>
    <t>L/room/day</t>
  </si>
  <si>
    <t>BD2683 modelled baseline for building type</t>
  </si>
  <si>
    <t>Hotels and Residential institutions - Short term stay</t>
  </si>
  <si>
    <t>Prisons - Houseblock</t>
  </si>
  <si>
    <t>Healthcare - hospital</t>
  </si>
  <si>
    <t>See information source</t>
  </si>
  <si>
    <t>No specific data found by type for healthcare, therefore for hospitals data from hotels has been used as, of all building types with data, this is assumed to reflect most closely the breakdown in consumption between the microcomponent type for hospitals</t>
  </si>
  <si>
    <t>Healthcare - GP surgery or health centre/clinic</t>
  </si>
  <si>
    <t>No specific data found by type for healthcare, therefore the same splits in component types as that used for 'other non domestic building type' are used.</t>
  </si>
  <si>
    <t>Assembly and leisure - cinema</t>
  </si>
  <si>
    <t>Litres/visitor/day</t>
  </si>
  <si>
    <t>Assembly and leisure - theatre, music, concert hall</t>
  </si>
  <si>
    <t>L/employee or visit/day</t>
  </si>
  <si>
    <t>Assembly and Leisure - sports and recreation</t>
  </si>
  <si>
    <t>BD2683 modelled baseline for building type. Data for food preparation components has been taken from restaurant data as no specific data for these components in BD2683 for leisure centres.</t>
  </si>
  <si>
    <t>L/employee or visitor/day</t>
  </si>
  <si>
    <t>Retail - Bar/Public House only (no restaurant)</t>
  </si>
  <si>
    <t>BD2683 modelled 'business as usual' approach. Figures are 40% of corresponding component figures for restaurant use (as indicated by table K3)</t>
  </si>
  <si>
    <t>Retail - Bar/public house or restaurant</t>
  </si>
  <si>
    <t>BD2683 modelled 'business as usual' approach. Figures are 70% of corresponding component figures for restaurant use (as indicated by table K3)</t>
  </si>
  <si>
    <t>Public - Law Court</t>
  </si>
  <si>
    <t>No specific data available/found for this building type, therefore it uses the same ratios as that for 'Other non-domestic building type'</t>
  </si>
  <si>
    <t>Mega litres/day</t>
  </si>
  <si>
    <t>WC, urinals, shower, basin taps and kitchen taps are sourced from BNWat22.</t>
  </si>
  <si>
    <t>Other Non-Domestic Building Type</t>
  </si>
  <si>
    <t>See comment.</t>
  </si>
  <si>
    <t>Residential Institutions - Long term stay</t>
  </si>
  <si>
    <t>Residential</t>
  </si>
  <si>
    <t>Note: The Baseline scenario utilises devices that comply with current building regulations.</t>
  </si>
  <si>
    <t>Note: water consumption from ice makers in restaurants, hotels and bars not included in the data</t>
  </si>
  <si>
    <t>Component weightings for selected building type</t>
  </si>
  <si>
    <t>Component weightings adjusted for components specified</t>
  </si>
  <si>
    <t>Overall Component level</t>
  </si>
  <si>
    <t>Credits</t>
  </si>
  <si>
    <t>Greywater/rainwater component level</t>
  </si>
  <si>
    <t>Specified</t>
  </si>
  <si>
    <t>Up to level 2</t>
  </si>
  <si>
    <t>Actual/equivalent % of the building's flushing demand to be met using recycled non potable water from the above system(s)</t>
  </si>
  <si>
    <t>Actual % of the total rainwater run-off from the roof catchment area collected and used to meet flushing/other permissible demand</t>
  </si>
  <si>
    <t>Component credits</t>
  </si>
  <si>
    <t>Actual % of the total waste water from taps and showers collected and recycled to meet flushing/other permissible demand</t>
  </si>
  <si>
    <t>Water recycling credits</t>
  </si>
  <si>
    <t>Note: 5 credits is the maximum</t>
  </si>
  <si>
    <t>Healthcare - Hospital</t>
  </si>
  <si>
    <t>Residential Institution - Hotel</t>
  </si>
  <si>
    <t>Assembly and Leisure - Cinema</t>
  </si>
  <si>
    <t>Assembly and Leisure - Theatre, Music, Concert Hall</t>
  </si>
  <si>
    <t>Assembly and Leisure - Sports and Recreation</t>
  </si>
  <si>
    <t>Retail - Bar/Public House with restaurant</t>
  </si>
  <si>
    <t>&lt;previously Other Residential Building Type</t>
  </si>
  <si>
    <t>Bath only</t>
  </si>
  <si>
    <t>Shower only</t>
  </si>
  <si>
    <t>Bath and shower</t>
  </si>
  <si>
    <t>Retail - Bar/Public House or restaurant</t>
  </si>
  <si>
    <t>BREEAM International 2016 / Version 6 Wat 01 Water Consumption: Average flow rate calculator</t>
  </si>
  <si>
    <t>Building Details</t>
  </si>
  <si>
    <t>WCs</t>
  </si>
  <si>
    <t>WC type</t>
  </si>
  <si>
    <t>Specification
Effective flush volume (litres)</t>
  </si>
  <si>
    <t>Quantity (No.)</t>
  </si>
  <si>
    <t>Total per fitting type</t>
  </si>
  <si>
    <t>Average effective flushing volume (litres)</t>
  </si>
  <si>
    <t>Urinals - automatically operated flushing cisterns</t>
  </si>
  <si>
    <t>Urinal Flushing System type</t>
  </si>
  <si>
    <t>Specification
Cistern capacity (litres)</t>
  </si>
  <si>
    <t>Flushing Frequency (flushes/hr)</t>
  </si>
  <si>
    <t>Average cistern capacity (litres)</t>
  </si>
  <si>
    <t>Average flushing frequency (flushes/hour)</t>
  </si>
  <si>
    <t>Urinals - Manual or automatically operated pressure flushing valves</t>
  </si>
  <si>
    <t>Specification
Flush volume (litres)</t>
  </si>
  <si>
    <t>Average flush volume (litres)</t>
  </si>
  <si>
    <t>Taps (excluding kitchen sink taps)</t>
  </si>
  <si>
    <t>Tap type</t>
  </si>
  <si>
    <t>Specification
Flow rate (litres/minute)</t>
  </si>
  <si>
    <t>Average flow rate (litres/min)</t>
  </si>
  <si>
    <t>Proportionate flow rate (litres/min)</t>
  </si>
  <si>
    <t>Kitchen sink taps</t>
  </si>
  <si>
    <t>Shower type</t>
  </si>
  <si>
    <t>bath type</t>
  </si>
  <si>
    <t>Specification
Capacity to overflow (litres)</t>
  </si>
  <si>
    <t>Average capacity to overflow (litres)</t>
  </si>
  <si>
    <t>Proportionate capacity to overflow (litres)</t>
  </si>
  <si>
    <t>BREEAM International 2016 / Version 6 Wat 01 Calculator</t>
  </si>
  <si>
    <t>Current Version</t>
  </si>
  <si>
    <t>Release date</t>
  </si>
  <si>
    <t>Description of changes/additions to previous version resulting in current version</t>
  </si>
  <si>
    <t>Title updated to include BREEAM International New Construction Version 6</t>
  </si>
  <si>
    <t>Previous Versions</t>
  </si>
  <si>
    <t>Description of changes/additions</t>
  </si>
  <si>
    <t>Included the Precipitation Zone cell in the Education tab and improved the links between precipitation zones and credits achieved</t>
  </si>
  <si>
    <t>Included 'Retail - bar/public house or restaurant' and 'Retail - bar/public house (no restaurant)' building types within Other building type calculator.</t>
  </si>
  <si>
    <t>Fixed error in selecting Residential Institutions - Long term stay building type within Other building type calculator.</t>
  </si>
  <si>
    <t>BREEAM International New Construction 2016 go live version.</t>
  </si>
  <si>
    <t>DE AH Versioin</t>
  </si>
  <si>
    <t>Rounding error fixed on Other Building Type Calculator related to the componant level</t>
  </si>
  <si>
    <t>Lookup error in the Industrial Tab fixed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</si>
</sst>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00"/>
    <numFmt numFmtId="168" formatCode="0.0%"/>
  </numFmts>
  <fonts count="60" x14ac:knownFonts="1">
    <font>
      <sz val="10"/>
      <name val="Arial"/>
    </font>
    <font>
      <sz val="10"/>
      <color theme="1"/>
      <name val="Arial"/>
      <family val="2"/>
    </font>
    <font>
      <sz val="11"/>
      <color theme="1"/>
      <name val="Calibri"/>
      <family val="2"/>
      <scheme val="minor"/>
    </font>
    <font>
      <sz val="10"/>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sz val="10"/>
      <color indexed="8"/>
      <name val="Arial"/>
      <family val="2"/>
    </font>
    <font>
      <b/>
      <sz val="18"/>
      <name val="Trebuchet MS"/>
      <family val="2"/>
    </font>
    <font>
      <u/>
      <sz val="10"/>
      <color indexed="12"/>
      <name val="Arial"/>
      <family val="2"/>
    </font>
    <font>
      <b/>
      <sz val="10"/>
      <color indexed="8"/>
      <name val="Arial"/>
      <family val="2"/>
    </font>
    <font>
      <b/>
      <sz val="10"/>
      <color indexed="10"/>
      <name val="Arial"/>
      <family val="2"/>
    </font>
    <font>
      <sz val="10"/>
      <color indexed="22"/>
      <name val="Arial"/>
      <family val="2"/>
    </font>
    <font>
      <b/>
      <sz val="10"/>
      <color indexed="81"/>
      <name val="Tahoma"/>
      <family val="2"/>
    </font>
    <font>
      <sz val="10"/>
      <color indexed="81"/>
      <name val="Tahoma"/>
      <family val="2"/>
    </font>
    <font>
      <sz val="8"/>
      <name val="Arial"/>
      <family val="2"/>
    </font>
    <font>
      <sz val="8"/>
      <color indexed="81"/>
      <name val="Arial"/>
      <family val="2"/>
    </font>
    <font>
      <b/>
      <sz val="8"/>
      <name val="Arial"/>
      <family val="2"/>
    </font>
    <font>
      <sz val="8"/>
      <color indexed="22"/>
      <name val="Arial"/>
      <family val="2"/>
    </font>
    <font>
      <u/>
      <sz val="8"/>
      <color indexed="81"/>
      <name val="Tahoma"/>
      <family val="2"/>
    </font>
    <font>
      <sz val="8"/>
      <color indexed="8"/>
      <name val="Arial"/>
      <family val="2"/>
    </font>
    <font>
      <sz val="10"/>
      <name val="Arial"/>
      <family val="2"/>
    </font>
    <font>
      <sz val="10"/>
      <color indexed="9"/>
      <name val="Calibri"/>
      <family val="2"/>
    </font>
    <font>
      <vertAlign val="superscript"/>
      <sz val="10"/>
      <color indexed="9"/>
      <name val="Calibri"/>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8"/>
      <color rgb="FF000000"/>
      <name val="Arial"/>
      <family val="2"/>
    </font>
    <font>
      <sz val="10"/>
      <name val="Calibri"/>
      <family val="2"/>
      <scheme val="minor"/>
    </font>
    <font>
      <b/>
      <sz val="10"/>
      <name val="Calibri"/>
      <family val="2"/>
      <scheme val="minor"/>
    </font>
    <font>
      <b/>
      <i/>
      <sz val="10"/>
      <name val="Calibri"/>
      <family val="2"/>
      <scheme val="minor"/>
    </font>
    <font>
      <i/>
      <sz val="10"/>
      <name val="Calibri"/>
      <family val="2"/>
      <scheme val="minor"/>
    </font>
    <font>
      <sz val="10"/>
      <color indexed="22"/>
      <name val="Calibri"/>
      <family val="2"/>
      <scheme val="minor"/>
    </font>
    <font>
      <sz val="10"/>
      <color rgb="FFFF0000"/>
      <name val="Calibri"/>
      <family val="2"/>
      <scheme val="minor"/>
    </font>
    <font>
      <sz val="10"/>
      <color indexed="9"/>
      <name val="Calibri"/>
      <family val="2"/>
      <scheme val="minor"/>
    </font>
    <font>
      <sz val="10"/>
      <color indexed="10"/>
      <name val="Calibri"/>
      <family val="2"/>
      <scheme val="minor"/>
    </font>
    <font>
      <sz val="9"/>
      <name val="Calibri"/>
      <family val="2"/>
      <scheme val="minor"/>
    </font>
    <font>
      <sz val="10"/>
      <color theme="0" tint="-0.499984740745262"/>
      <name val="Calibri"/>
      <family val="2"/>
      <scheme val="minor"/>
    </font>
    <font>
      <sz val="10"/>
      <color theme="0" tint="-0.499984740745262"/>
      <name val="Calibri"/>
      <family val="2"/>
    </font>
    <font>
      <sz val="10"/>
      <color theme="0"/>
      <name val="Calibri"/>
      <family val="2"/>
      <scheme val="minor"/>
    </font>
    <font>
      <b/>
      <sz val="18"/>
      <color rgb="FFFF0000"/>
      <name val="Calibri"/>
      <family val="2"/>
      <scheme val="minor"/>
    </font>
    <font>
      <b/>
      <sz val="22"/>
      <color rgb="FFFF0000"/>
      <name val="Calibri"/>
      <family val="2"/>
      <scheme val="minor"/>
    </font>
    <font>
      <i/>
      <sz val="10"/>
      <color theme="0" tint="-0.499984740745262"/>
      <name val="Calibri"/>
      <family val="2"/>
      <scheme val="minor"/>
    </font>
    <font>
      <sz val="10"/>
      <color rgb="FFFF0000"/>
      <name val="Arial"/>
      <family val="2"/>
    </font>
    <font>
      <sz val="11"/>
      <name val="Calibri"/>
      <family val="2"/>
      <scheme val="minor"/>
    </font>
    <font>
      <b/>
      <sz val="16"/>
      <color rgb="FFFF0000"/>
      <name val="Calibri"/>
      <family val="2"/>
      <scheme val="minor"/>
    </font>
    <font>
      <sz val="10"/>
      <color theme="1"/>
      <name val="Calibri"/>
      <family val="2"/>
      <scheme val="minor"/>
    </font>
    <font>
      <b/>
      <sz val="14"/>
      <color rgb="FFFF0000"/>
      <name val="Calibri"/>
      <family val="2"/>
      <scheme val="minor"/>
    </font>
    <font>
      <i/>
      <sz val="11"/>
      <color theme="0" tint="-0.499984740745262"/>
      <name val="Calibri"/>
      <family val="2"/>
      <scheme val="minor"/>
    </font>
    <font>
      <b/>
      <sz val="11"/>
      <color rgb="FFFF0000"/>
      <name val="Calibri"/>
      <family val="2"/>
      <scheme val="minor"/>
    </font>
    <font>
      <b/>
      <sz val="16"/>
      <color theme="0"/>
      <name val="Calibri"/>
      <family val="2"/>
      <scheme val="minor"/>
    </font>
    <font>
      <b/>
      <sz val="12"/>
      <color theme="0"/>
      <name val="Calibri"/>
      <family val="2"/>
      <scheme val="minor"/>
    </font>
    <font>
      <b/>
      <sz val="14"/>
      <color theme="0"/>
      <name val="Calibri"/>
      <family val="2"/>
      <scheme val="minor"/>
    </font>
    <font>
      <b/>
      <sz val="10"/>
      <color theme="0"/>
      <name val="Calibri"/>
      <family val="2"/>
      <scheme val="minor"/>
    </font>
    <font>
      <b/>
      <u/>
      <sz val="10"/>
      <name val="Calibri"/>
      <family val="2"/>
      <scheme val="minor"/>
    </font>
    <font>
      <sz val="14"/>
      <color theme="0"/>
      <name val="Calibri"/>
      <family val="2"/>
      <scheme val="minor"/>
    </font>
    <font>
      <sz val="11"/>
      <color indexed="81"/>
      <name val="Tahoma"/>
      <family val="2"/>
    </font>
  </fonts>
  <fills count="21">
    <fill>
      <patternFill patternType="none"/>
    </fill>
    <fill>
      <patternFill patternType="gray125"/>
    </fill>
    <fill>
      <patternFill patternType="solid">
        <fgColor indexed="22"/>
        <bgColor indexed="0"/>
      </patternFill>
    </fill>
    <fill>
      <patternFill patternType="solid">
        <fgColor indexed="50"/>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9AB599"/>
        <bgColor indexed="64"/>
      </patternFill>
    </fill>
    <fill>
      <patternFill patternType="solid">
        <fgColor theme="0" tint="-4.9989318521683403E-2"/>
        <bgColor indexed="64"/>
      </patternFill>
    </fill>
    <fill>
      <patternFill patternType="solid">
        <fgColor rgb="FF99B59A"/>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8"/>
      </patternFill>
    </fill>
    <fill>
      <patternFill patternType="solid">
        <fgColor rgb="FF3D6864"/>
        <bgColor indexed="64"/>
      </patternFill>
    </fill>
    <fill>
      <patternFill patternType="solid">
        <fgColor rgb="FF406564"/>
        <bgColor indexed="64"/>
      </patternFill>
    </fill>
    <fill>
      <patternFill patternType="solid">
        <fgColor rgb="FFFFFF0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11" fillId="0" borderId="0" applyNumberFormat="0" applyFill="0" applyBorder="0" applyAlignment="0" applyProtection="0">
      <alignment vertical="top"/>
      <protection locked="0"/>
    </xf>
    <xf numFmtId="0" fontId="26" fillId="0" borderId="0"/>
    <xf numFmtId="0" fontId="4" fillId="0" borderId="0"/>
    <xf numFmtId="0" fontId="4" fillId="0" borderId="0"/>
    <xf numFmtId="0" fontId="9" fillId="0" borderId="0"/>
    <xf numFmtId="9" fontId="3"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cellStyleXfs>
  <cellXfs count="640">
    <xf numFmtId="0" fontId="0" fillId="0" borderId="0" xfId="0"/>
    <xf numFmtId="0" fontId="0" fillId="0" borderId="0" xfId="0" applyAlignment="1">
      <alignment horizontal="center"/>
    </xf>
    <xf numFmtId="2" fontId="0" fillId="0" borderId="0" xfId="0" applyNumberFormat="1" applyAlignment="1">
      <alignment horizontal="center"/>
    </xf>
    <xf numFmtId="0" fontId="5" fillId="0" borderId="0" xfId="0" applyFont="1"/>
    <xf numFmtId="0" fontId="0" fillId="0" borderId="0" xfId="0" applyAlignment="1">
      <alignment wrapText="1"/>
    </xf>
    <xf numFmtId="0" fontId="9" fillId="2" borderId="2" xfId="5" applyFill="1" applyBorder="1" applyAlignment="1">
      <alignment horizontal="center"/>
    </xf>
    <xf numFmtId="0" fontId="9" fillId="0" borderId="1" xfId="5" applyBorder="1" applyAlignment="1">
      <alignment horizontal="center" wrapText="1"/>
    </xf>
    <xf numFmtId="0" fontId="9" fillId="0" borderId="1" xfId="5" applyBorder="1" applyAlignment="1">
      <alignment wrapText="1"/>
    </xf>
    <xf numFmtId="0" fontId="9" fillId="0" borderId="1" xfId="5" applyBorder="1" applyAlignment="1">
      <alignment horizontal="right" wrapText="1"/>
    </xf>
    <xf numFmtId="0" fontId="9" fillId="0" borderId="0" xfId="5"/>
    <xf numFmtId="0" fontId="0" fillId="0" borderId="3" xfId="0" applyBorder="1"/>
    <xf numFmtId="0" fontId="0" fillId="0" borderId="3" xfId="0" applyBorder="1" applyAlignment="1">
      <alignment wrapText="1"/>
    </xf>
    <xf numFmtId="165" fontId="0" fillId="0" borderId="0" xfId="0" applyNumberFormat="1" applyAlignment="1">
      <alignment horizontal="center"/>
    </xf>
    <xf numFmtId="0" fontId="4" fillId="0" borderId="0" xfId="0" applyFont="1"/>
    <xf numFmtId="9" fontId="0" fillId="0" borderId="0" xfId="6" applyFont="1" applyAlignment="1">
      <alignment horizontal="center"/>
    </xf>
    <xf numFmtId="0" fontId="14" fillId="0" borderId="0" xfId="0" applyFont="1"/>
    <xf numFmtId="0" fontId="14" fillId="0" borderId="0" xfId="0" applyFont="1" applyAlignment="1">
      <alignment wrapText="1"/>
    </xf>
    <xf numFmtId="0" fontId="14" fillId="0" borderId="0" xfId="0" applyFont="1" applyAlignment="1">
      <alignment vertical="top"/>
    </xf>
    <xf numFmtId="0" fontId="14" fillId="0" borderId="0" xfId="5" applyFont="1" applyAlignment="1">
      <alignment horizontal="left"/>
    </xf>
    <xf numFmtId="0" fontId="14" fillId="0" borderId="1" xfId="5" applyFont="1" applyBorder="1" applyAlignment="1">
      <alignment horizontal="left"/>
    </xf>
    <xf numFmtId="0" fontId="14" fillId="0" borderId="4" xfId="5" applyFont="1" applyBorder="1" applyAlignment="1">
      <alignment horizontal="left"/>
    </xf>
    <xf numFmtId="2" fontId="3" fillId="0" borderId="0" xfId="0" applyNumberFormat="1" applyFont="1" applyAlignment="1">
      <alignment horizontal="center"/>
    </xf>
    <xf numFmtId="1" fontId="0" fillId="0" borderId="0" xfId="0" applyNumberFormat="1" applyAlignment="1">
      <alignment horizontal="center"/>
    </xf>
    <xf numFmtId="0" fontId="5" fillId="0" borderId="3" xfId="0" applyFont="1" applyBorder="1" applyAlignment="1">
      <alignment vertical="top" wrapText="1"/>
    </xf>
    <xf numFmtId="0" fontId="12" fillId="0" borderId="3" xfId="5" applyFont="1" applyBorder="1" applyAlignment="1">
      <alignment horizontal="left" wrapText="1"/>
    </xf>
    <xf numFmtId="0" fontId="13" fillId="0" borderId="3" xfId="5" applyFont="1" applyBorder="1" applyAlignment="1">
      <alignment horizontal="left" wrapText="1"/>
    </xf>
    <xf numFmtId="0" fontId="5" fillId="3" borderId="3" xfId="0" applyFont="1" applyFill="1" applyBorder="1" applyAlignment="1">
      <alignment vertical="top" wrapText="1"/>
    </xf>
    <xf numFmtId="0" fontId="0" fillId="3" borderId="3" xfId="0" applyFill="1" applyBorder="1" applyAlignment="1">
      <alignment wrapText="1"/>
    </xf>
    <xf numFmtId="1" fontId="14" fillId="0" borderId="0" xfId="0" applyNumberFormat="1" applyFont="1" applyAlignment="1">
      <alignment horizontal="center"/>
    </xf>
    <xf numFmtId="1" fontId="4" fillId="0" borderId="0" xfId="0" applyNumberFormat="1" applyFont="1" applyAlignment="1">
      <alignment horizontal="center"/>
    </xf>
    <xf numFmtId="0" fontId="0" fillId="4" borderId="3" xfId="0" applyFill="1" applyBorder="1" applyAlignment="1">
      <alignment horizontal="center" vertical="center"/>
    </xf>
    <xf numFmtId="0" fontId="11" fillId="0" borderId="0" xfId="1" applyAlignment="1" applyProtection="1"/>
    <xf numFmtId="0" fontId="0" fillId="0" borderId="3" xfId="0" applyBorder="1" applyAlignment="1">
      <alignment horizontal="center" vertical="center"/>
    </xf>
    <xf numFmtId="0" fontId="0" fillId="3" borderId="3" xfId="0" applyFill="1" applyBorder="1" applyAlignment="1">
      <alignment horizontal="center" vertical="center"/>
    </xf>
    <xf numFmtId="9" fontId="0" fillId="3" borderId="3" xfId="6" applyFont="1" applyFill="1" applyBorder="1" applyAlignment="1">
      <alignment horizontal="center" vertical="center"/>
    </xf>
    <xf numFmtId="2" fontId="0" fillId="3" borderId="3" xfId="0" applyNumberFormat="1" applyFill="1" applyBorder="1" applyAlignment="1">
      <alignment horizontal="center" vertical="center"/>
    </xf>
    <xf numFmtId="165" fontId="0" fillId="3" borderId="3" xfId="0" applyNumberFormat="1" applyFill="1" applyBorder="1" applyAlignment="1">
      <alignment horizontal="center" vertical="center"/>
    </xf>
    <xf numFmtId="2" fontId="3" fillId="3" borderId="3" xfId="0" applyNumberFormat="1" applyFont="1" applyFill="1" applyBorder="1" applyAlignment="1">
      <alignment horizontal="center" vertical="center"/>
    </xf>
    <xf numFmtId="2" fontId="5" fillId="5" borderId="3" xfId="0" applyNumberFormat="1" applyFont="1" applyFill="1" applyBorder="1" applyAlignment="1">
      <alignment horizontal="center" vertical="center" wrapText="1"/>
    </xf>
    <xf numFmtId="2" fontId="0" fillId="4" borderId="3" xfId="0" applyNumberFormat="1" applyFill="1" applyBorder="1" applyAlignment="1">
      <alignment horizontal="center" vertical="center"/>
    </xf>
    <xf numFmtId="2" fontId="3" fillId="4" borderId="3" xfId="0" applyNumberFormat="1" applyFont="1" applyFill="1" applyBorder="1" applyAlignment="1">
      <alignment horizontal="center" vertical="center"/>
    </xf>
    <xf numFmtId="2" fontId="0" fillId="0" borderId="3" xfId="0" applyNumberFormat="1" applyBorder="1" applyAlignment="1">
      <alignment horizontal="center" vertical="center"/>
    </xf>
    <xf numFmtId="2" fontId="0" fillId="0" borderId="3" xfId="0" applyNumberFormat="1" applyBorder="1" applyAlignment="1">
      <alignment horizontal="center" vertical="center" wrapText="1"/>
    </xf>
    <xf numFmtId="2" fontId="19" fillId="0" borderId="5" xfId="0" applyNumberFormat="1" applyFont="1" applyBorder="1" applyAlignment="1">
      <alignment horizontal="left"/>
    </xf>
    <xf numFmtId="0" fontId="17" fillId="0" borderId="0" xfId="0" applyFont="1"/>
    <xf numFmtId="0" fontId="20" fillId="0" borderId="0" xfId="0" applyFont="1"/>
    <xf numFmtId="0" fontId="20" fillId="0" borderId="0" xfId="0" applyFont="1" applyAlignment="1">
      <alignment vertical="top"/>
    </xf>
    <xf numFmtId="2" fontId="19" fillId="0" borderId="5" xfId="0" applyNumberFormat="1" applyFont="1" applyBorder="1" applyAlignment="1">
      <alignment horizontal="center" wrapText="1"/>
    </xf>
    <xf numFmtId="0" fontId="19" fillId="0" borderId="0" xfId="0" applyFont="1" applyAlignment="1">
      <alignment wrapText="1"/>
    </xf>
    <xf numFmtId="0" fontId="20" fillId="0" borderId="0" xfId="0" applyFont="1" applyAlignment="1">
      <alignment wrapText="1"/>
    </xf>
    <xf numFmtId="0" fontId="17" fillId="0" borderId="0" xfId="0" applyFont="1" applyAlignment="1">
      <alignment horizontal="center" vertical="center"/>
    </xf>
    <xf numFmtId="165" fontId="9" fillId="6" borderId="3" xfId="5" applyNumberFormat="1" applyFill="1" applyBorder="1" applyAlignment="1">
      <alignment horizontal="center" vertical="center" wrapText="1"/>
    </xf>
    <xf numFmtId="9" fontId="0" fillId="4" borderId="3" xfId="6" applyFont="1" applyFill="1" applyBorder="1" applyAlignment="1">
      <alignment horizontal="center" vertical="center"/>
    </xf>
    <xf numFmtId="165" fontId="0" fillId="4" borderId="3" xfId="0" applyNumberFormat="1" applyFill="1" applyBorder="1" applyAlignment="1">
      <alignment horizontal="center" vertical="center"/>
    </xf>
    <xf numFmtId="2" fontId="3" fillId="0" borderId="3" xfId="0" applyNumberFormat="1" applyFont="1" applyBorder="1" applyAlignment="1">
      <alignment horizontal="center" vertical="center"/>
    </xf>
    <xf numFmtId="9" fontId="0" fillId="0" borderId="3" xfId="6" applyFont="1" applyBorder="1" applyAlignment="1">
      <alignment horizontal="center" vertical="center"/>
    </xf>
    <xf numFmtId="165" fontId="0" fillId="0" borderId="3" xfId="0" applyNumberFormat="1" applyBorder="1" applyAlignment="1">
      <alignment horizontal="center" vertical="center"/>
    </xf>
    <xf numFmtId="0" fontId="5" fillId="7" borderId="6" xfId="0" applyFont="1" applyFill="1" applyBorder="1" applyAlignment="1">
      <alignment horizontal="center" vertical="center" wrapText="1"/>
    </xf>
    <xf numFmtId="2" fontId="0" fillId="3" borderId="3" xfId="0" applyNumberFormat="1" applyFill="1" applyBorder="1" applyAlignment="1">
      <alignment horizontal="center" vertical="center" wrapText="1"/>
    </xf>
    <xf numFmtId="9" fontId="0" fillId="0" borderId="3" xfId="6" applyFont="1" applyFill="1" applyBorder="1" applyAlignment="1">
      <alignment horizontal="center" vertical="center"/>
    </xf>
    <xf numFmtId="2" fontId="19" fillId="0" borderId="3" xfId="0" applyNumberFormat="1" applyFont="1" applyBorder="1" applyAlignment="1">
      <alignment horizontal="left" vertical="center"/>
    </xf>
    <xf numFmtId="0" fontId="19" fillId="0" borderId="3" xfId="0" applyFont="1" applyBorder="1" applyAlignment="1">
      <alignment horizontal="left" vertical="center"/>
    </xf>
    <xf numFmtId="0" fontId="19" fillId="0" borderId="7" xfId="0" applyFont="1" applyBorder="1" applyAlignment="1">
      <alignment horizontal="left" vertical="center" wrapText="1"/>
    </xf>
    <xf numFmtId="0" fontId="6" fillId="0" borderId="3" xfId="0" applyFont="1" applyBorder="1" applyAlignment="1">
      <alignment horizontal="left" vertical="center" wrapText="1"/>
    </xf>
    <xf numFmtId="2" fontId="6" fillId="0" borderId="6" xfId="0" applyNumberFormat="1" applyFont="1" applyBorder="1" applyAlignment="1">
      <alignment horizontal="center" vertical="center"/>
    </xf>
    <xf numFmtId="0" fontId="30" fillId="0" borderId="0" xfId="0" applyFont="1" applyAlignment="1">
      <alignment vertical="top" wrapText="1"/>
    </xf>
    <xf numFmtId="0" fontId="6" fillId="0" borderId="3" xfId="0" applyFont="1" applyBorder="1" applyAlignment="1">
      <alignment vertical="top" wrapText="1"/>
    </xf>
    <xf numFmtId="0" fontId="6" fillId="0" borderId="3" xfId="0" applyFont="1" applyBorder="1" applyAlignment="1">
      <alignment horizontal="left" vertical="top" wrapText="1"/>
    </xf>
    <xf numFmtId="0" fontId="6" fillId="0" borderId="0" xfId="0" applyFont="1"/>
    <xf numFmtId="2" fontId="6" fillId="0" borderId="0" xfId="0" applyNumberFormat="1" applyFont="1" applyAlignment="1">
      <alignment horizontal="center"/>
    </xf>
    <xf numFmtId="2" fontId="6" fillId="0" borderId="3" xfId="0" applyNumberFormat="1" applyFont="1" applyBorder="1" applyAlignment="1">
      <alignment horizontal="center" vertical="center"/>
    </xf>
    <xf numFmtId="2" fontId="6" fillId="0" borderId="3" xfId="0" applyNumberFormat="1" applyFont="1" applyBorder="1" applyAlignment="1">
      <alignment horizontal="center" vertical="center" wrapText="1"/>
    </xf>
    <xf numFmtId="10" fontId="6" fillId="0" borderId="3" xfId="6" applyNumberFormat="1" applyFont="1" applyFill="1" applyBorder="1" applyAlignment="1">
      <alignment horizontal="center" vertical="center" wrapText="1"/>
    </xf>
    <xf numFmtId="168" fontId="6" fillId="0" borderId="3" xfId="6"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0" applyNumberFormat="1" applyFont="1" applyBorder="1" applyAlignment="1">
      <alignment horizontal="center" vertical="center"/>
    </xf>
    <xf numFmtId="2" fontId="6" fillId="0" borderId="0" xfId="0" applyNumberFormat="1" applyFont="1" applyAlignment="1">
      <alignment horizontal="center" vertical="center"/>
    </xf>
    <xf numFmtId="0" fontId="6" fillId="0" borderId="7" xfId="0" applyFont="1" applyBorder="1" applyAlignment="1">
      <alignment horizontal="left" vertical="center" wrapText="1"/>
    </xf>
    <xf numFmtId="0" fontId="0" fillId="0" borderId="0" xfId="0" applyAlignment="1">
      <alignment horizontal="center" vertical="center"/>
    </xf>
    <xf numFmtId="9" fontId="0" fillId="0" borderId="0" xfId="6" applyFont="1" applyAlignment="1">
      <alignment horizontal="center" vertical="center"/>
    </xf>
    <xf numFmtId="2" fontId="0" fillId="0" borderId="0" xfId="0" applyNumberFormat="1" applyAlignment="1">
      <alignment horizontal="center" vertical="center"/>
    </xf>
    <xf numFmtId="165" fontId="0" fillId="0" borderId="0" xfId="0" applyNumberFormat="1" applyAlignment="1">
      <alignment horizontal="center" vertical="center"/>
    </xf>
    <xf numFmtId="0" fontId="6" fillId="0" borderId="3" xfId="0" applyFont="1" applyBorder="1" applyAlignment="1">
      <alignment horizontal="left" vertical="top"/>
    </xf>
    <xf numFmtId="166" fontId="6" fillId="0" borderId="3" xfId="0" applyNumberFormat="1" applyFont="1" applyBorder="1" applyAlignment="1">
      <alignment horizontal="center" vertical="center"/>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0" fillId="4" borderId="0" xfId="0" applyFill="1" applyProtection="1">
      <protection hidden="1"/>
    </xf>
    <xf numFmtId="0" fontId="31" fillId="9" borderId="0" xfId="0" applyFont="1" applyFill="1" applyProtection="1">
      <protection hidden="1"/>
    </xf>
    <xf numFmtId="0" fontId="31" fillId="9" borderId="0" xfId="0" applyFont="1" applyFill="1" applyAlignment="1" applyProtection="1">
      <alignment horizontal="center" wrapText="1"/>
      <protection hidden="1"/>
    </xf>
    <xf numFmtId="0" fontId="31" fillId="10" borderId="5" xfId="0" applyFont="1" applyFill="1" applyBorder="1" applyAlignment="1" applyProtection="1">
      <alignment horizontal="center" vertical="center"/>
      <protection hidden="1"/>
    </xf>
    <xf numFmtId="0" fontId="31" fillId="10" borderId="3" xfId="0" applyFont="1" applyFill="1" applyBorder="1" applyAlignment="1" applyProtection="1">
      <alignment horizontal="center" vertical="center"/>
      <protection hidden="1"/>
    </xf>
    <xf numFmtId="0" fontId="32" fillId="9" borderId="0" xfId="0" applyFont="1" applyFill="1" applyAlignment="1" applyProtection="1">
      <alignment horizontal="right" vertical="center"/>
      <protection hidden="1"/>
    </xf>
    <xf numFmtId="2" fontId="31" fillId="10" borderId="3" xfId="0" applyNumberFormat="1" applyFont="1" applyFill="1" applyBorder="1" applyAlignment="1" applyProtection="1">
      <alignment horizontal="center" vertical="center" wrapText="1"/>
      <protection hidden="1"/>
    </xf>
    <xf numFmtId="0" fontId="31" fillId="10" borderId="3" xfId="0" applyFont="1" applyFill="1" applyBorder="1" applyAlignment="1" applyProtection="1">
      <alignment horizontal="center" vertical="center" wrapText="1"/>
      <protection hidden="1"/>
    </xf>
    <xf numFmtId="2" fontId="31" fillId="10" borderId="3" xfId="0" applyNumberFormat="1" applyFont="1" applyFill="1" applyBorder="1" applyAlignment="1" applyProtection="1">
      <alignment horizontal="center" vertical="center"/>
      <protection hidden="1"/>
    </xf>
    <xf numFmtId="0" fontId="31" fillId="10" borderId="8" xfId="0" applyFont="1" applyFill="1" applyBorder="1" applyAlignment="1" applyProtection="1">
      <alignment horizontal="center" vertical="center" wrapText="1"/>
      <protection hidden="1"/>
    </xf>
    <xf numFmtId="2" fontId="31" fillId="10" borderId="5" xfId="0" applyNumberFormat="1" applyFont="1" applyFill="1" applyBorder="1" applyAlignment="1" applyProtection="1">
      <alignment vertical="center"/>
      <protection hidden="1"/>
    </xf>
    <xf numFmtId="2" fontId="31" fillId="10" borderId="5" xfId="0" applyNumberFormat="1" applyFont="1" applyFill="1" applyBorder="1" applyAlignment="1" applyProtection="1">
      <alignment horizontal="center" vertical="center"/>
      <protection hidden="1"/>
    </xf>
    <xf numFmtId="165" fontId="31" fillId="10" borderId="5" xfId="0" applyNumberFormat="1" applyFont="1" applyFill="1" applyBorder="1" applyAlignment="1" applyProtection="1">
      <alignment horizontal="center" vertical="center"/>
      <protection hidden="1"/>
    </xf>
    <xf numFmtId="2" fontId="31" fillId="5" borderId="5" xfId="0" applyNumberFormat="1" applyFont="1" applyFill="1" applyBorder="1" applyAlignment="1" applyProtection="1">
      <alignment horizontal="center" vertical="center"/>
      <protection hidden="1"/>
    </xf>
    <xf numFmtId="2" fontId="31" fillId="5" borderId="3" xfId="0" applyNumberFormat="1" applyFont="1" applyFill="1" applyBorder="1" applyAlignment="1" applyProtection="1">
      <alignment horizontal="center" vertical="center" wrapText="1"/>
      <protection hidden="1"/>
    </xf>
    <xf numFmtId="2" fontId="31" fillId="10" borderId="3" xfId="0" applyNumberFormat="1" applyFont="1" applyFill="1" applyBorder="1" applyAlignment="1" applyProtection="1">
      <alignment horizontal="left" vertical="center"/>
      <protection hidden="1"/>
    </xf>
    <xf numFmtId="2" fontId="31" fillId="10" borderId="9" xfId="0" applyNumberFormat="1" applyFont="1" applyFill="1" applyBorder="1" applyAlignment="1" applyProtection="1">
      <alignment horizontal="center" vertical="center"/>
      <protection hidden="1"/>
    </xf>
    <xf numFmtId="2" fontId="31" fillId="10" borderId="3" xfId="0" applyNumberFormat="1" applyFont="1" applyFill="1" applyBorder="1" applyAlignment="1" applyProtection="1">
      <alignment vertical="center"/>
      <protection hidden="1"/>
    </xf>
    <xf numFmtId="165" fontId="31" fillId="10" borderId="3" xfId="0" applyNumberFormat="1" applyFont="1" applyFill="1" applyBorder="1" applyAlignment="1" applyProtection="1">
      <alignment horizontal="center" vertical="center"/>
      <protection hidden="1"/>
    </xf>
    <xf numFmtId="0" fontId="32" fillId="10" borderId="9" xfId="0" applyFont="1" applyFill="1" applyBorder="1" applyAlignment="1" applyProtection="1">
      <alignment horizontal="center" vertical="center"/>
      <protection hidden="1"/>
    </xf>
    <xf numFmtId="0" fontId="31" fillId="10" borderId="9" xfId="0" applyFont="1" applyFill="1" applyBorder="1" applyAlignment="1" applyProtection="1">
      <alignment horizontal="center" vertical="center"/>
      <protection hidden="1"/>
    </xf>
    <xf numFmtId="0" fontId="31" fillId="10" borderId="10" xfId="0" applyFont="1" applyFill="1" applyBorder="1" applyAlignment="1" applyProtection="1">
      <alignment horizontal="right" vertical="center"/>
      <protection hidden="1"/>
    </xf>
    <xf numFmtId="1" fontId="31" fillId="10" borderId="3" xfId="0" applyNumberFormat="1" applyFont="1" applyFill="1" applyBorder="1" applyAlignment="1" applyProtection="1">
      <alignment horizontal="center" vertical="center"/>
      <protection hidden="1"/>
    </xf>
    <xf numFmtId="0" fontId="32" fillId="9" borderId="0" xfId="0" applyFont="1" applyFill="1" applyProtection="1">
      <protection hidden="1"/>
    </xf>
    <xf numFmtId="0" fontId="31" fillId="9" borderId="0" xfId="0" applyFont="1" applyFill="1" applyAlignment="1" applyProtection="1">
      <alignment horizontal="center"/>
      <protection hidden="1"/>
    </xf>
    <xf numFmtId="0" fontId="31" fillId="11" borderId="3" xfId="0" applyFont="1" applyFill="1" applyBorder="1" applyAlignment="1" applyProtection="1">
      <alignment horizontal="center" wrapText="1"/>
      <protection hidden="1"/>
    </xf>
    <xf numFmtId="0" fontId="31" fillId="11" borderId="10" xfId="0" applyFont="1" applyFill="1" applyBorder="1" applyAlignment="1" applyProtection="1">
      <alignment horizontal="center" wrapText="1"/>
      <protection hidden="1"/>
    </xf>
    <xf numFmtId="0" fontId="31" fillId="9" borderId="0" xfId="0" applyFont="1" applyFill="1" applyAlignment="1" applyProtection="1">
      <alignment horizontal="right" vertical="center"/>
      <protection hidden="1"/>
    </xf>
    <xf numFmtId="0" fontId="33" fillId="9" borderId="0" xfId="0" applyFont="1" applyFill="1" applyProtection="1">
      <protection hidden="1"/>
    </xf>
    <xf numFmtId="0" fontId="34" fillId="9" borderId="0" xfId="0" applyFont="1" applyFill="1" applyProtection="1">
      <protection hidden="1"/>
    </xf>
    <xf numFmtId="0" fontId="31" fillId="11" borderId="5" xfId="0" applyFont="1" applyFill="1" applyBorder="1" applyAlignment="1" applyProtection="1">
      <alignment horizontal="left"/>
      <protection hidden="1"/>
    </xf>
    <xf numFmtId="0" fontId="31" fillId="4" borderId="0" xfId="0" applyFont="1" applyFill="1" applyProtection="1">
      <protection hidden="1"/>
    </xf>
    <xf numFmtId="0" fontId="31" fillId="4" borderId="0" xfId="0" applyFont="1" applyFill="1" applyAlignment="1" applyProtection="1">
      <alignment horizontal="center" wrapText="1"/>
      <protection hidden="1"/>
    </xf>
    <xf numFmtId="0" fontId="31" fillId="4" borderId="0" xfId="0" applyFont="1" applyFill="1" applyAlignment="1" applyProtection="1">
      <alignment horizontal="right"/>
      <protection hidden="1"/>
    </xf>
    <xf numFmtId="9" fontId="35" fillId="4" borderId="0" xfId="6" applyFont="1" applyFill="1" applyProtection="1">
      <protection hidden="1"/>
    </xf>
    <xf numFmtId="0" fontId="31" fillId="0" borderId="0" xfId="0" applyFont="1" applyProtection="1">
      <protection hidden="1"/>
    </xf>
    <xf numFmtId="0" fontId="31" fillId="4" borderId="0" xfId="0" applyFont="1" applyFill="1" applyAlignment="1" applyProtection="1">
      <alignment horizontal="center"/>
      <protection hidden="1"/>
    </xf>
    <xf numFmtId="9" fontId="36" fillId="4" borderId="0" xfId="6" applyFont="1" applyFill="1" applyAlignment="1" applyProtection="1">
      <alignment horizontal="center"/>
      <protection hidden="1"/>
    </xf>
    <xf numFmtId="168" fontId="36" fillId="4" borderId="0" xfId="6" applyNumberFormat="1" applyFont="1" applyFill="1" applyAlignment="1" applyProtection="1">
      <alignment horizontal="center"/>
      <protection hidden="1"/>
    </xf>
    <xf numFmtId="0" fontId="37" fillId="4" borderId="0" xfId="0" applyFont="1" applyFill="1" applyProtection="1">
      <protection hidden="1"/>
    </xf>
    <xf numFmtId="10" fontId="31" fillId="4" borderId="0" xfId="0" applyNumberFormat="1" applyFont="1" applyFill="1" applyAlignment="1" applyProtection="1">
      <alignment horizontal="center"/>
      <protection hidden="1"/>
    </xf>
    <xf numFmtId="168" fontId="31" fillId="4" borderId="0" xfId="6" applyNumberFormat="1" applyFont="1" applyFill="1" applyAlignment="1" applyProtection="1">
      <alignment horizontal="center"/>
      <protection hidden="1"/>
    </xf>
    <xf numFmtId="2" fontId="31" fillId="4" borderId="0" xfId="0" applyNumberFormat="1" applyFont="1" applyFill="1" applyProtection="1">
      <protection hidden="1"/>
    </xf>
    <xf numFmtId="2" fontId="31" fillId="4" borderId="0" xfId="0" applyNumberFormat="1" applyFont="1" applyFill="1" applyAlignment="1" applyProtection="1">
      <alignment horizontal="center"/>
      <protection hidden="1"/>
    </xf>
    <xf numFmtId="0" fontId="31" fillId="4" borderId="0" xfId="0" applyFont="1" applyFill="1" applyAlignment="1" applyProtection="1">
      <alignment horizontal="right" vertical="center"/>
      <protection hidden="1"/>
    </xf>
    <xf numFmtId="0" fontId="38" fillId="4" borderId="0" xfId="0" applyFont="1" applyFill="1" applyProtection="1">
      <protection hidden="1"/>
    </xf>
    <xf numFmtId="2" fontId="31" fillId="4" borderId="0" xfId="0" applyNumberFormat="1" applyFont="1" applyFill="1" applyAlignment="1" applyProtection="1">
      <alignment horizontal="center" vertical="center"/>
      <protection hidden="1"/>
    </xf>
    <xf numFmtId="0" fontId="32" fillId="4" borderId="0" xfId="0" applyFont="1" applyFill="1" applyAlignment="1" applyProtection="1">
      <alignment horizontal="center" wrapText="1"/>
      <protection hidden="1"/>
    </xf>
    <xf numFmtId="0" fontId="31" fillId="10" borderId="10" xfId="0" applyFont="1" applyFill="1" applyBorder="1" applyProtection="1">
      <protection hidden="1"/>
    </xf>
    <xf numFmtId="0" fontId="35" fillId="4" borderId="0" xfId="0" applyFont="1" applyFill="1" applyProtection="1">
      <protection hidden="1"/>
    </xf>
    <xf numFmtId="0" fontId="31" fillId="9" borderId="0" xfId="0" applyFont="1" applyFill="1" applyAlignment="1" applyProtection="1">
      <alignment vertical="center"/>
      <protection hidden="1"/>
    </xf>
    <xf numFmtId="0" fontId="39" fillId="9" borderId="0" xfId="0" applyFont="1" applyFill="1" applyAlignment="1" applyProtection="1">
      <alignment horizontal="center" wrapText="1"/>
      <protection hidden="1"/>
    </xf>
    <xf numFmtId="0" fontId="31" fillId="9" borderId="0" xfId="0" applyFont="1" applyFill="1" applyAlignment="1" applyProtection="1">
      <alignment horizontal="center" vertical="center"/>
      <protection hidden="1"/>
    </xf>
    <xf numFmtId="9" fontId="31" fillId="4" borderId="0" xfId="6" applyFont="1" applyFill="1" applyProtection="1">
      <protection hidden="1"/>
    </xf>
    <xf numFmtId="0" fontId="31" fillId="4" borderId="0" xfId="0" applyFont="1" applyFill="1" applyAlignment="1" applyProtection="1">
      <alignment horizontal="left" vertical="center"/>
      <protection hidden="1"/>
    </xf>
    <xf numFmtId="2" fontId="31" fillId="4" borderId="0" xfId="6" applyNumberFormat="1" applyFont="1" applyFill="1" applyProtection="1">
      <protection hidden="1"/>
    </xf>
    <xf numFmtId="0" fontId="31" fillId="12" borderId="0" xfId="0" applyFont="1" applyFill="1" applyAlignment="1" applyProtection="1">
      <alignment horizontal="center"/>
      <protection hidden="1"/>
    </xf>
    <xf numFmtId="9" fontId="31" fillId="12" borderId="0" xfId="6" applyFont="1" applyFill="1" applyBorder="1" applyAlignment="1" applyProtection="1">
      <alignment horizontal="center" vertical="center"/>
      <protection hidden="1"/>
    </xf>
    <xf numFmtId="0" fontId="31" fillId="12" borderId="0" xfId="0" applyFont="1" applyFill="1" applyProtection="1">
      <protection hidden="1"/>
    </xf>
    <xf numFmtId="0" fontId="32" fillId="9" borderId="0" xfId="0" applyFont="1" applyFill="1" applyAlignment="1" applyProtection="1">
      <alignment horizontal="center" vertical="center"/>
      <protection hidden="1"/>
    </xf>
    <xf numFmtId="164" fontId="31" fillId="4" borderId="0" xfId="6" applyNumberFormat="1" applyFont="1" applyFill="1" applyAlignment="1" applyProtection="1">
      <alignment horizontal="center"/>
      <protection hidden="1"/>
    </xf>
    <xf numFmtId="9" fontId="31" fillId="4" borderId="0" xfId="6" applyFont="1" applyFill="1" applyAlignment="1" applyProtection="1">
      <alignment horizontal="center"/>
      <protection hidden="1"/>
    </xf>
    <xf numFmtId="10" fontId="31" fillId="4" borderId="0" xfId="0" applyNumberFormat="1" applyFont="1" applyFill="1" applyAlignment="1" applyProtection="1">
      <alignment horizontal="right"/>
      <protection hidden="1"/>
    </xf>
    <xf numFmtId="0" fontId="31" fillId="4" borderId="0" xfId="0" applyFont="1" applyFill="1" applyAlignment="1" applyProtection="1">
      <alignment horizontal="left"/>
      <protection hidden="1"/>
    </xf>
    <xf numFmtId="9" fontId="35" fillId="9" borderId="0" xfId="6" applyFont="1" applyFill="1" applyBorder="1" applyAlignment="1" applyProtection="1">
      <alignment horizontal="right"/>
      <protection hidden="1"/>
    </xf>
    <xf numFmtId="0" fontId="35" fillId="9" borderId="0" xfId="0" applyFont="1" applyFill="1" applyAlignment="1" applyProtection="1">
      <alignment horizontal="left"/>
      <protection hidden="1"/>
    </xf>
    <xf numFmtId="168" fontId="35" fillId="9" borderId="0" xfId="6" applyNumberFormat="1" applyFont="1" applyFill="1" applyAlignment="1" applyProtection="1">
      <alignment horizontal="right"/>
      <protection hidden="1"/>
    </xf>
    <xf numFmtId="166" fontId="31" fillId="4" borderId="0" xfId="0" applyNumberFormat="1" applyFont="1" applyFill="1" applyProtection="1">
      <protection hidden="1"/>
    </xf>
    <xf numFmtId="1" fontId="31" fillId="4" borderId="0" xfId="0" applyNumberFormat="1" applyFont="1" applyFill="1" applyAlignment="1" applyProtection="1">
      <alignment horizontal="center" vertical="center"/>
      <protection hidden="1"/>
    </xf>
    <xf numFmtId="0" fontId="35" fillId="9" borderId="0" xfId="0" applyFont="1" applyFill="1" applyProtection="1">
      <protection hidden="1"/>
    </xf>
    <xf numFmtId="9" fontId="31" fillId="9" borderId="0" xfId="6" applyFont="1" applyFill="1" applyAlignment="1" applyProtection="1">
      <alignment horizontal="center"/>
      <protection hidden="1"/>
    </xf>
    <xf numFmtId="168" fontId="31" fillId="9" borderId="0" xfId="6" applyNumberFormat="1" applyFont="1" applyFill="1" applyAlignment="1" applyProtection="1">
      <alignment horizontal="center"/>
      <protection hidden="1"/>
    </xf>
    <xf numFmtId="0" fontId="31" fillId="4" borderId="0" xfId="0" applyFont="1" applyFill="1" applyAlignment="1" applyProtection="1">
      <alignment vertical="top"/>
      <protection hidden="1"/>
    </xf>
    <xf numFmtId="0" fontId="31" fillId="6" borderId="0" xfId="5" applyFont="1" applyFill="1" applyAlignment="1" applyProtection="1">
      <alignment horizontal="left"/>
      <protection hidden="1"/>
    </xf>
    <xf numFmtId="0" fontId="31" fillId="6" borderId="0" xfId="5" applyFont="1" applyFill="1" applyAlignment="1" applyProtection="1">
      <alignment horizontal="right"/>
      <protection hidden="1"/>
    </xf>
    <xf numFmtId="0" fontId="31" fillId="0" borderId="0" xfId="0" applyFont="1" applyAlignment="1" applyProtection="1">
      <alignment horizontal="center" wrapText="1"/>
      <protection hidden="1"/>
    </xf>
    <xf numFmtId="2" fontId="31" fillId="10" borderId="11" xfId="0" applyNumberFormat="1" applyFont="1" applyFill="1" applyBorder="1" applyAlignment="1" applyProtection="1">
      <alignment vertical="center"/>
      <protection hidden="1"/>
    </xf>
    <xf numFmtId="2" fontId="31" fillId="10" borderId="11" xfId="0" applyNumberFormat="1" applyFont="1" applyFill="1" applyBorder="1" applyAlignment="1" applyProtection="1">
      <alignment horizontal="center" vertical="center"/>
      <protection hidden="1"/>
    </xf>
    <xf numFmtId="1" fontId="31" fillId="10" borderId="11" xfId="0" applyNumberFormat="1" applyFont="1" applyFill="1" applyBorder="1" applyAlignment="1" applyProtection="1">
      <alignment horizontal="center" vertical="center"/>
      <protection hidden="1"/>
    </xf>
    <xf numFmtId="2" fontId="31" fillId="10" borderId="11" xfId="0" applyNumberFormat="1" applyFont="1" applyFill="1" applyBorder="1" applyAlignment="1" applyProtection="1">
      <alignment horizontal="center" vertical="center" wrapText="1"/>
      <protection hidden="1"/>
    </xf>
    <xf numFmtId="2" fontId="31" fillId="10" borderId="7" xfId="0" applyNumberFormat="1" applyFont="1" applyFill="1" applyBorder="1" applyAlignment="1" applyProtection="1">
      <alignment vertical="center"/>
      <protection hidden="1"/>
    </xf>
    <xf numFmtId="2" fontId="31" fillId="10" borderId="7" xfId="0" applyNumberFormat="1" applyFont="1" applyFill="1" applyBorder="1" applyAlignment="1" applyProtection="1">
      <alignment horizontal="center" vertical="center"/>
      <protection hidden="1"/>
    </xf>
    <xf numFmtId="2" fontId="31" fillId="10" borderId="7" xfId="0" applyNumberFormat="1" applyFont="1" applyFill="1" applyBorder="1" applyAlignment="1" applyProtection="1">
      <alignment horizontal="center" vertical="center" wrapText="1"/>
      <protection hidden="1"/>
    </xf>
    <xf numFmtId="0" fontId="31" fillId="10" borderId="3" xfId="0" applyFont="1" applyFill="1" applyBorder="1" applyAlignment="1" applyProtection="1">
      <alignment horizontal="left" vertical="center"/>
      <protection hidden="1"/>
    </xf>
    <xf numFmtId="2" fontId="31" fillId="10" borderId="3" xfId="6" applyNumberFormat="1" applyFont="1" applyFill="1" applyBorder="1" applyAlignment="1" applyProtection="1">
      <alignment horizontal="center" vertical="center" wrapText="1"/>
      <protection hidden="1"/>
    </xf>
    <xf numFmtId="9" fontId="31" fillId="9" borderId="0" xfId="6" applyFont="1" applyFill="1" applyBorder="1" applyAlignment="1" applyProtection="1">
      <alignment horizontal="right" vertical="center"/>
      <protection hidden="1"/>
    </xf>
    <xf numFmtId="0" fontId="31" fillId="10" borderId="5" xfId="0" applyFont="1" applyFill="1" applyBorder="1" applyProtection="1">
      <protection hidden="1"/>
    </xf>
    <xf numFmtId="0" fontId="31" fillId="10" borderId="9" xfId="0" applyFont="1" applyFill="1" applyBorder="1" applyProtection="1">
      <protection hidden="1"/>
    </xf>
    <xf numFmtId="1" fontId="31" fillId="10" borderId="3" xfId="6" applyNumberFormat="1" applyFont="1" applyFill="1" applyBorder="1" applyAlignment="1" applyProtection="1">
      <alignment horizontal="center" vertical="center" wrapText="1"/>
      <protection hidden="1"/>
    </xf>
    <xf numFmtId="2" fontId="32" fillId="10" borderId="3" xfId="0" applyNumberFormat="1" applyFont="1" applyFill="1" applyBorder="1" applyAlignment="1" applyProtection="1">
      <alignment horizontal="center" vertical="center"/>
      <protection hidden="1"/>
    </xf>
    <xf numFmtId="10" fontId="32" fillId="10" borderId="3" xfId="6" applyNumberFormat="1" applyFont="1" applyFill="1" applyBorder="1" applyAlignment="1" applyProtection="1">
      <alignment horizontal="center" vertical="center"/>
      <protection hidden="1"/>
    </xf>
    <xf numFmtId="0" fontId="32" fillId="10" borderId="3" xfId="0" applyFont="1" applyFill="1" applyBorder="1" applyAlignment="1" applyProtection="1">
      <alignment horizontal="center" vertical="center"/>
      <protection hidden="1"/>
    </xf>
    <xf numFmtId="0" fontId="19" fillId="13" borderId="3" xfId="0" applyFont="1" applyFill="1" applyBorder="1"/>
    <xf numFmtId="0" fontId="19" fillId="13" borderId="5" xfId="0" applyFont="1" applyFill="1" applyBorder="1" applyAlignment="1">
      <alignment horizontal="left"/>
    </xf>
    <xf numFmtId="0" fontId="19" fillId="13" borderId="9" xfId="0" applyFont="1" applyFill="1" applyBorder="1" applyAlignment="1">
      <alignment horizontal="center" wrapText="1"/>
    </xf>
    <xf numFmtId="0" fontId="19" fillId="13" borderId="10" xfId="0" applyFont="1" applyFill="1" applyBorder="1" applyAlignment="1">
      <alignment horizontal="center" wrapText="1"/>
    </xf>
    <xf numFmtId="2" fontId="19" fillId="13" borderId="5" xfId="0" applyNumberFormat="1" applyFont="1" applyFill="1" applyBorder="1" applyAlignment="1">
      <alignment horizontal="left"/>
    </xf>
    <xf numFmtId="2" fontId="19" fillId="13" borderId="9" xfId="0" applyNumberFormat="1" applyFont="1" applyFill="1" applyBorder="1" applyAlignment="1">
      <alignment horizontal="left"/>
    </xf>
    <xf numFmtId="0" fontId="19" fillId="13" borderId="11" xfId="0" applyFont="1" applyFill="1" applyBorder="1" applyAlignment="1">
      <alignment wrapText="1"/>
    </xf>
    <xf numFmtId="0" fontId="19" fillId="13" borderId="11" xfId="0" applyFont="1" applyFill="1" applyBorder="1" applyAlignment="1">
      <alignment horizontal="center" wrapText="1"/>
    </xf>
    <xf numFmtId="0" fontId="19" fillId="13" borderId="6" xfId="0" applyFont="1" applyFill="1" applyBorder="1" applyAlignment="1">
      <alignment horizontal="center" wrapText="1"/>
    </xf>
    <xf numFmtId="9" fontId="19" fillId="13" borderId="11" xfId="6" applyFont="1" applyFill="1" applyBorder="1" applyAlignment="1">
      <alignment horizontal="center" wrapText="1"/>
    </xf>
    <xf numFmtId="2" fontId="19" fillId="13" borderId="6" xfId="0" applyNumberFormat="1" applyFont="1" applyFill="1" applyBorder="1" applyAlignment="1">
      <alignment horizontal="center" wrapText="1"/>
    </xf>
    <xf numFmtId="165" fontId="19" fillId="13" borderId="6" xfId="0" applyNumberFormat="1" applyFont="1" applyFill="1" applyBorder="1" applyAlignment="1">
      <alignment horizontal="center" wrapText="1"/>
    </xf>
    <xf numFmtId="2" fontId="19" fillId="13" borderId="12" xfId="0" applyNumberFormat="1" applyFont="1" applyFill="1" applyBorder="1" applyAlignment="1">
      <alignment horizontal="center" wrapText="1"/>
    </xf>
    <xf numFmtId="0" fontId="19" fillId="13" borderId="5" xfId="0" applyFont="1" applyFill="1" applyBorder="1" applyAlignment="1">
      <alignment vertical="center"/>
    </xf>
    <xf numFmtId="0" fontId="19" fillId="13" borderId="3" xfId="0" applyFont="1" applyFill="1" applyBorder="1" applyAlignment="1">
      <alignment wrapText="1"/>
    </xf>
    <xf numFmtId="0" fontId="19" fillId="13" borderId="3" xfId="0" applyFont="1" applyFill="1" applyBorder="1" applyAlignment="1">
      <alignment horizontal="center" wrapText="1"/>
    </xf>
    <xf numFmtId="0" fontId="19" fillId="14" borderId="3" xfId="0" applyFont="1" applyFill="1" applyBorder="1" applyAlignment="1">
      <alignment horizontal="left" vertical="center" wrapText="1"/>
    </xf>
    <xf numFmtId="0" fontId="6" fillId="14" borderId="3" xfId="0" applyFont="1" applyFill="1" applyBorder="1" applyAlignment="1">
      <alignment horizontal="left" vertical="center" wrapText="1"/>
    </xf>
    <xf numFmtId="0" fontId="6" fillId="14" borderId="3" xfId="0" applyFont="1" applyFill="1" applyBorder="1" applyAlignment="1">
      <alignment horizontal="center" vertical="center"/>
    </xf>
    <xf numFmtId="9" fontId="6" fillId="14" borderId="3" xfId="6" applyFont="1" applyFill="1" applyBorder="1" applyAlignment="1">
      <alignment horizontal="center" vertical="center"/>
    </xf>
    <xf numFmtId="2" fontId="6" fillId="14" borderId="3" xfId="0" applyNumberFormat="1" applyFont="1" applyFill="1" applyBorder="1" applyAlignment="1">
      <alignment horizontal="center" vertical="center"/>
    </xf>
    <xf numFmtId="165" fontId="6" fillId="14" borderId="3" xfId="0" applyNumberFormat="1" applyFont="1" applyFill="1" applyBorder="1" applyAlignment="1">
      <alignment horizontal="center" vertical="center"/>
    </xf>
    <xf numFmtId="0" fontId="6" fillId="8" borderId="3" xfId="0" applyFont="1" applyFill="1" applyBorder="1" applyAlignment="1">
      <alignment horizontal="center" vertical="center"/>
    </xf>
    <xf numFmtId="9" fontId="6" fillId="8" borderId="3" xfId="6" applyFont="1" applyFill="1" applyBorder="1" applyAlignment="1">
      <alignment horizontal="center" vertical="center"/>
    </xf>
    <xf numFmtId="2" fontId="6" fillId="8" borderId="3" xfId="0" applyNumberFormat="1" applyFont="1" applyFill="1" applyBorder="1" applyAlignment="1">
      <alignment horizontal="center" vertical="center"/>
    </xf>
    <xf numFmtId="2" fontId="6" fillId="4" borderId="3" xfId="0" applyNumberFormat="1" applyFont="1" applyFill="1" applyBorder="1" applyAlignment="1">
      <alignment horizontal="center" vertical="center"/>
    </xf>
    <xf numFmtId="165" fontId="6" fillId="8" borderId="3" xfId="0" applyNumberFormat="1" applyFont="1" applyFill="1" applyBorder="1" applyAlignment="1">
      <alignment horizontal="center" vertical="center"/>
    </xf>
    <xf numFmtId="166" fontId="6" fillId="4" borderId="3" xfId="0" applyNumberFormat="1" applyFont="1" applyFill="1" applyBorder="1" applyAlignment="1">
      <alignment horizontal="center" vertical="center"/>
    </xf>
    <xf numFmtId="165" fontId="6" fillId="4" borderId="3" xfId="0" applyNumberFormat="1" applyFont="1" applyFill="1" applyBorder="1" applyAlignment="1">
      <alignment horizontal="center" vertical="center"/>
    </xf>
    <xf numFmtId="0" fontId="6" fillId="15" borderId="3" xfId="0" applyFont="1" applyFill="1" applyBorder="1" applyAlignment="1">
      <alignment horizontal="center" vertical="center"/>
    </xf>
    <xf numFmtId="9" fontId="6" fillId="15" borderId="3" xfId="6" applyFont="1" applyFill="1" applyBorder="1" applyAlignment="1">
      <alignment horizontal="center" vertical="center"/>
    </xf>
    <xf numFmtId="2" fontId="6" fillId="15" borderId="3" xfId="0" applyNumberFormat="1" applyFont="1" applyFill="1" applyBorder="1" applyAlignment="1">
      <alignment horizontal="center" vertical="center"/>
    </xf>
    <xf numFmtId="0" fontId="6" fillId="15" borderId="0" xfId="0" applyFont="1" applyFill="1"/>
    <xf numFmtId="0" fontId="0" fillId="4" borderId="3" xfId="0" applyFill="1" applyBorder="1" applyProtection="1">
      <protection hidden="1"/>
    </xf>
    <xf numFmtId="0" fontId="0" fillId="10" borderId="3" xfId="0" applyFill="1" applyBorder="1" applyProtection="1">
      <protection hidden="1"/>
    </xf>
    <xf numFmtId="0" fontId="0" fillId="16" borderId="3" xfId="0" applyFill="1" applyBorder="1" applyProtection="1">
      <protection hidden="1"/>
    </xf>
    <xf numFmtId="0" fontId="33" fillId="10" borderId="5" xfId="0" applyFont="1" applyFill="1" applyBorder="1" applyProtection="1">
      <protection hidden="1"/>
    </xf>
    <xf numFmtId="0" fontId="40" fillId="16" borderId="3" xfId="0" applyFont="1" applyFill="1" applyBorder="1" applyAlignment="1" applyProtection="1">
      <alignment horizontal="center" vertical="center"/>
      <protection hidden="1"/>
    </xf>
    <xf numFmtId="2" fontId="31" fillId="4" borderId="5" xfId="0" applyNumberFormat="1" applyFont="1" applyFill="1" applyBorder="1" applyAlignment="1" applyProtection="1">
      <alignment horizontal="center" vertical="center"/>
      <protection hidden="1"/>
    </xf>
    <xf numFmtId="2" fontId="31" fillId="9" borderId="5" xfId="0" applyNumberFormat="1" applyFont="1" applyFill="1" applyBorder="1" applyAlignment="1" applyProtection="1">
      <alignment horizontal="center" vertical="center"/>
      <protection hidden="1"/>
    </xf>
    <xf numFmtId="0" fontId="31" fillId="4" borderId="3" xfId="0" applyFont="1" applyFill="1" applyBorder="1" applyAlignment="1" applyProtection="1">
      <alignment horizontal="center" vertical="center"/>
      <protection locked="0"/>
    </xf>
    <xf numFmtId="0" fontId="40" fillId="16" borderId="3" xfId="0" applyFont="1" applyFill="1" applyBorder="1" applyAlignment="1" applyProtection="1">
      <alignment horizontal="center" vertical="center"/>
      <protection locked="0"/>
    </xf>
    <xf numFmtId="0" fontId="31" fillId="4" borderId="3" xfId="0" applyFont="1" applyFill="1" applyBorder="1" applyAlignment="1" applyProtection="1">
      <alignment horizontal="left" vertical="center"/>
      <protection locked="0"/>
    </xf>
    <xf numFmtId="2" fontId="31" fillId="4" borderId="3" xfId="0" applyNumberFormat="1" applyFont="1" applyFill="1" applyBorder="1" applyAlignment="1" applyProtection="1">
      <alignment horizontal="center" vertical="center"/>
      <protection locked="0"/>
    </xf>
    <xf numFmtId="2" fontId="31" fillId="4" borderId="3" xfId="0" applyNumberFormat="1" applyFont="1" applyFill="1" applyBorder="1" applyAlignment="1" applyProtection="1">
      <alignment horizontal="center" vertical="center" wrapText="1"/>
      <protection locked="0"/>
    </xf>
    <xf numFmtId="2" fontId="31" fillId="4" borderId="7" xfId="0" applyNumberFormat="1" applyFont="1" applyFill="1" applyBorder="1" applyAlignment="1" applyProtection="1">
      <alignment horizontal="center" vertical="center"/>
      <protection locked="0"/>
    </xf>
    <xf numFmtId="2" fontId="31" fillId="4" borderId="5" xfId="0" applyNumberFormat="1" applyFont="1" applyFill="1" applyBorder="1" applyAlignment="1" applyProtection="1">
      <alignment horizontal="center" vertical="center"/>
      <protection locked="0"/>
    </xf>
    <xf numFmtId="0" fontId="31" fillId="4" borderId="3" xfId="0" applyFont="1" applyFill="1" applyBorder="1" applyAlignment="1" applyProtection="1">
      <alignment horizontal="center" vertical="center" wrapText="1"/>
      <protection locked="0"/>
    </xf>
    <xf numFmtId="9" fontId="31" fillId="4" borderId="3" xfId="6" applyFont="1" applyFill="1" applyBorder="1" applyAlignment="1" applyProtection="1">
      <alignment horizontal="center" vertical="center"/>
      <protection locked="0"/>
    </xf>
    <xf numFmtId="9" fontId="31" fillId="4" borderId="5" xfId="6" applyFont="1" applyFill="1" applyBorder="1" applyAlignment="1" applyProtection="1">
      <alignment horizontal="center" vertical="center"/>
      <protection locked="0"/>
    </xf>
    <xf numFmtId="9" fontId="31" fillId="4" borderId="3" xfId="0" applyNumberFormat="1"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wrapText="1"/>
      <protection locked="0"/>
    </xf>
    <xf numFmtId="0" fontId="31" fillId="9" borderId="3" xfId="0" applyFont="1" applyFill="1" applyBorder="1" applyAlignment="1" applyProtection="1">
      <alignment horizontal="center" vertical="center"/>
      <protection locked="0"/>
    </xf>
    <xf numFmtId="9" fontId="31" fillId="9" borderId="3" xfId="6" applyFont="1" applyFill="1" applyBorder="1" applyAlignment="1" applyProtection="1">
      <alignment horizontal="center" vertical="center"/>
      <protection locked="0"/>
    </xf>
    <xf numFmtId="0" fontId="31" fillId="9" borderId="3" xfId="0" applyFont="1" applyFill="1" applyBorder="1" applyAlignment="1" applyProtection="1">
      <alignment horizontal="center" vertical="center" wrapText="1"/>
      <protection locked="0"/>
    </xf>
    <xf numFmtId="9" fontId="31" fillId="9" borderId="3" xfId="0" applyNumberFormat="1" applyFont="1" applyFill="1" applyBorder="1" applyAlignment="1" applyProtection="1">
      <alignment horizontal="center" vertical="center" wrapText="1"/>
      <protection locked="0"/>
    </xf>
    <xf numFmtId="10" fontId="31" fillId="4" borderId="3" xfId="6" applyNumberFormat="1" applyFont="1" applyFill="1" applyBorder="1" applyAlignment="1" applyProtection="1">
      <alignment horizontal="center" vertical="center"/>
      <protection locked="0"/>
    </xf>
    <xf numFmtId="0" fontId="31" fillId="10" borderId="3" xfId="0" applyFont="1" applyFill="1" applyBorder="1" applyAlignment="1" applyProtection="1">
      <alignment horizontal="left" vertical="center" wrapText="1"/>
      <protection hidden="1"/>
    </xf>
    <xf numFmtId="0" fontId="31" fillId="10" borderId="13" xfId="0" applyFont="1" applyFill="1" applyBorder="1" applyAlignment="1" applyProtection="1">
      <alignment vertical="center"/>
      <protection hidden="1"/>
    </xf>
    <xf numFmtId="0" fontId="31" fillId="10" borderId="14" xfId="0" applyFont="1" applyFill="1" applyBorder="1" applyProtection="1">
      <protection hidden="1"/>
    </xf>
    <xf numFmtId="2" fontId="31" fillId="10" borderId="10" xfId="0" applyNumberFormat="1" applyFont="1" applyFill="1" applyBorder="1" applyAlignment="1" applyProtection="1">
      <alignment horizontal="center" vertical="center"/>
      <protection hidden="1"/>
    </xf>
    <xf numFmtId="2" fontId="31" fillId="10" borderId="5" xfId="0" applyNumberFormat="1" applyFont="1" applyFill="1" applyBorder="1" applyAlignment="1" applyProtection="1">
      <alignment horizontal="left" vertical="center"/>
      <protection hidden="1"/>
    </xf>
    <xf numFmtId="2" fontId="31" fillId="10" borderId="10" xfId="0" applyNumberFormat="1" applyFont="1" applyFill="1" applyBorder="1" applyAlignment="1" applyProtection="1">
      <alignment horizontal="left" vertical="center"/>
      <protection hidden="1"/>
    </xf>
    <xf numFmtId="2" fontId="31" fillId="9" borderId="3" xfId="0" applyNumberFormat="1" applyFont="1" applyFill="1" applyBorder="1" applyAlignment="1" applyProtection="1">
      <alignment horizontal="center" vertical="center"/>
      <protection hidden="1"/>
    </xf>
    <xf numFmtId="9" fontId="31" fillId="9" borderId="10" xfId="6" applyFont="1" applyFill="1" applyBorder="1" applyAlignment="1" applyProtection="1">
      <alignment horizontal="center"/>
      <protection hidden="1"/>
    </xf>
    <xf numFmtId="9" fontId="31" fillId="9" borderId="5" xfId="6" applyFont="1" applyFill="1" applyBorder="1" applyAlignment="1" applyProtection="1">
      <alignment horizontal="center" vertical="center"/>
      <protection hidden="1"/>
    </xf>
    <xf numFmtId="0" fontId="36" fillId="9" borderId="0" xfId="0" applyFont="1" applyFill="1" applyAlignment="1" applyProtection="1">
      <alignment horizontal="right"/>
      <protection hidden="1"/>
    </xf>
    <xf numFmtId="0" fontId="36" fillId="9" borderId="0" xfId="0" applyFont="1" applyFill="1" applyAlignment="1" applyProtection="1">
      <alignment horizontal="center"/>
      <protection hidden="1"/>
    </xf>
    <xf numFmtId="0" fontId="36" fillId="9" borderId="0" xfId="0" applyFont="1" applyFill="1" applyAlignment="1" applyProtection="1">
      <alignment horizontal="left"/>
      <protection hidden="1"/>
    </xf>
    <xf numFmtId="0" fontId="41" fillId="16" borderId="3" xfId="0" applyFont="1" applyFill="1" applyBorder="1" applyAlignment="1" applyProtection="1">
      <alignment horizontal="center" vertical="center"/>
      <protection hidden="1"/>
    </xf>
    <xf numFmtId="0" fontId="41" fillId="16" borderId="3" xfId="0" applyFont="1" applyFill="1" applyBorder="1" applyAlignment="1" applyProtection="1">
      <alignment horizontal="center" vertical="center"/>
      <protection locked="0"/>
    </xf>
    <xf numFmtId="0" fontId="42" fillId="9" borderId="15" xfId="0" applyFont="1" applyFill="1" applyBorder="1" applyAlignment="1" applyProtection="1">
      <alignment horizontal="left" vertical="center" wrapText="1"/>
      <protection hidden="1"/>
    </xf>
    <xf numFmtId="0" fontId="42" fillId="9" borderId="15" xfId="0" applyFont="1" applyFill="1" applyBorder="1" applyAlignment="1" applyProtection="1">
      <alignment horizontal="right" vertical="center"/>
      <protection hidden="1"/>
    </xf>
    <xf numFmtId="0" fontId="42" fillId="9" borderId="15" xfId="0" applyFont="1" applyFill="1" applyBorder="1" applyAlignment="1" applyProtection="1">
      <alignment horizontal="center" vertical="center"/>
      <protection locked="0"/>
    </xf>
    <xf numFmtId="0" fontId="31" fillId="17" borderId="0" xfId="5" applyFont="1" applyFill="1" applyAlignment="1" applyProtection="1">
      <alignment horizontal="left"/>
      <protection hidden="1"/>
    </xf>
    <xf numFmtId="0" fontId="31" fillId="9" borderId="0" xfId="0" applyFont="1" applyFill="1" applyAlignment="1" applyProtection="1">
      <alignment horizontal="right"/>
      <protection hidden="1"/>
    </xf>
    <xf numFmtId="9" fontId="35" fillId="9" borderId="0" xfId="6" applyFont="1" applyFill="1" applyProtection="1">
      <protection hidden="1"/>
    </xf>
    <xf numFmtId="0" fontId="31" fillId="17" borderId="0" xfId="5" applyFont="1" applyFill="1" applyAlignment="1" applyProtection="1">
      <alignment horizontal="right"/>
      <protection hidden="1"/>
    </xf>
    <xf numFmtId="2" fontId="6" fillId="0" borderId="3" xfId="0" applyNumberFormat="1" applyFont="1" applyBorder="1" applyAlignment="1">
      <alignment horizontal="center" vertical="top"/>
    </xf>
    <xf numFmtId="2" fontId="6" fillId="0" borderId="0" xfId="0" applyNumberFormat="1" applyFont="1" applyAlignment="1">
      <alignment horizontal="center" vertical="top"/>
    </xf>
    <xf numFmtId="0" fontId="19" fillId="0" borderId="3" xfId="0" applyFont="1" applyBorder="1" applyAlignment="1">
      <alignment horizontal="left" vertical="top"/>
    </xf>
    <xf numFmtId="2" fontId="6" fillId="0" borderId="3" xfId="0" applyNumberFormat="1" applyFont="1" applyBorder="1" applyAlignment="1">
      <alignment horizontal="center" vertical="top" wrapText="1"/>
    </xf>
    <xf numFmtId="0" fontId="6" fillId="0" borderId="0" xfId="0" applyFont="1" applyAlignment="1">
      <alignment vertical="top"/>
    </xf>
    <xf numFmtId="0" fontId="20" fillId="0" borderId="0" xfId="0" applyFont="1" applyAlignment="1">
      <alignment vertical="top" wrapText="1"/>
    </xf>
    <xf numFmtId="0" fontId="6" fillId="0" borderId="0" xfId="0" applyFont="1" applyAlignment="1">
      <alignment vertical="top" wrapText="1"/>
    </xf>
    <xf numFmtId="0" fontId="20" fillId="0" borderId="0" xfId="5" applyFont="1" applyAlignment="1">
      <alignment horizontal="left" vertical="top"/>
    </xf>
    <xf numFmtId="0" fontId="0" fillId="0" borderId="0" xfId="0" applyAlignment="1">
      <alignment vertical="top"/>
    </xf>
    <xf numFmtId="0" fontId="14" fillId="0" borderId="0" xfId="0" applyFont="1" applyAlignment="1">
      <alignment vertical="top" wrapText="1"/>
    </xf>
    <xf numFmtId="0" fontId="4" fillId="0" borderId="0" xfId="0" applyFont="1" applyAlignment="1">
      <alignment vertical="top"/>
    </xf>
    <xf numFmtId="0" fontId="6" fillId="14" borderId="3" xfId="0" applyFont="1" applyFill="1" applyBorder="1" applyAlignment="1">
      <alignment horizontal="center" vertical="center" wrapText="1"/>
    </xf>
    <xf numFmtId="0" fontId="36" fillId="9" borderId="0" xfId="0" applyFont="1" applyFill="1" applyProtection="1">
      <protection hidden="1"/>
    </xf>
    <xf numFmtId="2" fontId="31" fillId="4" borderId="0" xfId="0" applyNumberFormat="1" applyFont="1" applyFill="1" applyAlignment="1" applyProtection="1">
      <alignment horizontal="center" vertical="top"/>
      <protection hidden="1"/>
    </xf>
    <xf numFmtId="0" fontId="36" fillId="9" borderId="0" xfId="0" applyFont="1" applyFill="1" applyAlignment="1" applyProtection="1">
      <alignment vertical="center"/>
      <protection hidden="1"/>
    </xf>
    <xf numFmtId="0" fontId="31" fillId="11" borderId="5" xfId="0" applyFont="1" applyFill="1" applyBorder="1" applyAlignment="1" applyProtection="1">
      <alignment horizontal="left" vertical="center" wrapText="1"/>
      <protection hidden="1"/>
    </xf>
    <xf numFmtId="0" fontId="31" fillId="11" borderId="3" xfId="0" applyFont="1" applyFill="1" applyBorder="1" applyAlignment="1" applyProtection="1">
      <alignment horizontal="left" wrapText="1"/>
      <protection hidden="1"/>
    </xf>
    <xf numFmtId="0" fontId="31" fillId="11" borderId="5" xfId="0" applyFont="1" applyFill="1" applyBorder="1" applyAlignment="1" applyProtection="1">
      <alignment horizontal="left" vertical="center"/>
      <protection hidden="1"/>
    </xf>
    <xf numFmtId="0" fontId="31" fillId="11" borderId="9" xfId="0" applyFont="1" applyFill="1" applyBorder="1" applyAlignment="1" applyProtection="1">
      <alignment horizontal="left" vertical="center"/>
      <protection hidden="1"/>
    </xf>
    <xf numFmtId="0" fontId="31" fillId="11" borderId="10" xfId="0" applyFont="1" applyFill="1" applyBorder="1" applyAlignment="1" applyProtection="1">
      <alignment horizontal="left" vertical="center"/>
      <protection hidden="1"/>
    </xf>
    <xf numFmtId="0" fontId="31" fillId="11" borderId="11" xfId="0" applyFont="1" applyFill="1" applyBorder="1" applyAlignment="1" applyProtection="1">
      <alignment horizontal="center" wrapText="1"/>
      <protection hidden="1"/>
    </xf>
    <xf numFmtId="2" fontId="31" fillId="10" borderId="8" xfId="0" applyNumberFormat="1" applyFont="1" applyFill="1" applyBorder="1" applyAlignment="1" applyProtection="1">
      <alignment vertical="center"/>
      <protection hidden="1"/>
    </xf>
    <xf numFmtId="2" fontId="31" fillId="10" borderId="8" xfId="0" applyNumberFormat="1" applyFont="1" applyFill="1" applyBorder="1" applyAlignment="1" applyProtection="1">
      <alignment horizontal="center" vertical="center"/>
      <protection hidden="1"/>
    </xf>
    <xf numFmtId="0" fontId="31" fillId="11" borderId="11" xfId="0" applyFont="1" applyFill="1" applyBorder="1" applyAlignment="1" applyProtection="1">
      <alignment horizontal="left" wrapText="1"/>
      <protection hidden="1"/>
    </xf>
    <xf numFmtId="2" fontId="31" fillId="9" borderId="0" xfId="0" applyNumberFormat="1" applyFont="1" applyFill="1" applyAlignment="1" applyProtection="1">
      <alignment horizontal="center" vertical="center"/>
      <protection hidden="1"/>
    </xf>
    <xf numFmtId="0" fontId="31" fillId="11" borderId="9" xfId="0" applyFont="1" applyFill="1" applyBorder="1" applyAlignment="1" applyProtection="1">
      <alignment horizontal="left"/>
      <protection hidden="1"/>
    </xf>
    <xf numFmtId="0" fontId="31" fillId="11" borderId="10" xfId="0" applyFont="1" applyFill="1" applyBorder="1" applyAlignment="1" applyProtection="1">
      <alignment horizontal="left"/>
      <protection hidden="1"/>
    </xf>
    <xf numFmtId="0" fontId="31" fillId="11" borderId="5" xfId="0" applyFont="1" applyFill="1" applyBorder="1" applyAlignment="1" applyProtection="1">
      <alignment horizontal="center" vertical="center"/>
      <protection hidden="1"/>
    </xf>
    <xf numFmtId="0" fontId="31" fillId="11" borderId="9" xfId="0" applyFont="1" applyFill="1" applyBorder="1" applyAlignment="1" applyProtection="1">
      <alignment horizontal="center" wrapText="1"/>
      <protection hidden="1"/>
    </xf>
    <xf numFmtId="0" fontId="19" fillId="0" borderId="3" xfId="0" applyFont="1" applyBorder="1" applyAlignment="1">
      <alignment horizontal="left" vertical="center" wrapText="1"/>
    </xf>
    <xf numFmtId="0" fontId="6" fillId="0" borderId="3" xfId="0" applyFont="1" applyBorder="1" applyAlignment="1">
      <alignment horizontal="left" vertical="center"/>
    </xf>
    <xf numFmtId="0" fontId="31" fillId="10" borderId="3" xfId="0" applyFont="1" applyFill="1" applyBorder="1" applyProtection="1">
      <protection hidden="1"/>
    </xf>
    <xf numFmtId="0" fontId="31" fillId="10" borderId="3" xfId="0" applyFont="1" applyFill="1" applyBorder="1" applyAlignment="1" applyProtection="1">
      <alignment horizontal="center"/>
      <protection hidden="1"/>
    </xf>
    <xf numFmtId="0" fontId="31" fillId="10" borderId="3" xfId="0" applyFont="1" applyFill="1" applyBorder="1" applyAlignment="1" applyProtection="1">
      <alignment horizontal="left"/>
      <protection hidden="1"/>
    </xf>
    <xf numFmtId="0" fontId="31" fillId="10" borderId="3" xfId="0" quotePrefix="1" applyFont="1" applyFill="1" applyBorder="1" applyAlignment="1" applyProtection="1">
      <alignment horizontal="center" vertical="center"/>
      <protection hidden="1"/>
    </xf>
    <xf numFmtId="2" fontId="31" fillId="10" borderId="3" xfId="0" quotePrefix="1" applyNumberFormat="1" applyFont="1" applyFill="1" applyBorder="1" applyAlignment="1" applyProtection="1">
      <alignment horizontal="center" vertical="center"/>
      <protection hidden="1"/>
    </xf>
    <xf numFmtId="0" fontId="43" fillId="4" borderId="3" xfId="0" applyFont="1" applyFill="1" applyBorder="1" applyAlignment="1" applyProtection="1">
      <alignment horizontal="center" vertical="center"/>
      <protection hidden="1"/>
    </xf>
    <xf numFmtId="0" fontId="44" fillId="9" borderId="0" xfId="0" applyFont="1" applyFill="1" applyAlignment="1" applyProtection="1">
      <alignment horizontal="right" vertical="center"/>
      <protection hidden="1"/>
    </xf>
    <xf numFmtId="0" fontId="31" fillId="4" borderId="0" xfId="0" applyFont="1" applyFill="1" applyAlignment="1" applyProtection="1">
      <alignment vertical="center"/>
      <protection hidden="1"/>
    </xf>
    <xf numFmtId="166" fontId="6" fillId="4" borderId="3" xfId="0" applyNumberFormat="1" applyFont="1" applyFill="1" applyBorder="1" applyAlignment="1">
      <alignment horizontal="center" vertical="center" wrapText="1"/>
    </xf>
    <xf numFmtId="166" fontId="31" fillId="10" borderId="5" xfId="0" applyNumberFormat="1" applyFont="1" applyFill="1" applyBorder="1" applyAlignment="1" applyProtection="1">
      <alignment horizontal="center" vertical="center"/>
      <protection hidden="1"/>
    </xf>
    <xf numFmtId="166" fontId="31" fillId="10" borderId="7" xfId="0" applyNumberFormat="1" applyFont="1" applyFill="1" applyBorder="1" applyAlignment="1" applyProtection="1">
      <alignment horizontal="center" vertical="center"/>
      <protection hidden="1"/>
    </xf>
    <xf numFmtId="0" fontId="31" fillId="9" borderId="3" xfId="0" applyFont="1" applyFill="1" applyBorder="1" applyAlignment="1" applyProtection="1">
      <alignment horizontal="left" vertical="center" wrapText="1"/>
      <protection locked="0"/>
    </xf>
    <xf numFmtId="2" fontId="6" fillId="4" borderId="3" xfId="0" applyNumberFormat="1" applyFont="1" applyFill="1" applyBorder="1" applyAlignment="1">
      <alignment horizontal="center" vertical="center" wrapText="1"/>
    </xf>
    <xf numFmtId="0" fontId="45" fillId="9" borderId="12" xfId="0" applyFont="1" applyFill="1" applyBorder="1" applyAlignment="1" applyProtection="1">
      <alignment vertical="top" wrapText="1"/>
      <protection hidden="1"/>
    </xf>
    <xf numFmtId="0" fontId="46" fillId="0" borderId="1" xfId="5" applyFont="1" applyBorder="1" applyAlignment="1">
      <alignment horizontal="center" vertical="center" wrapText="1"/>
    </xf>
    <xf numFmtId="1" fontId="31" fillId="10" borderId="3" xfId="0" applyNumberFormat="1" applyFont="1" applyFill="1" applyBorder="1" applyAlignment="1" applyProtection="1">
      <alignment horizontal="center" vertical="center" wrapText="1"/>
      <protection hidden="1"/>
    </xf>
    <xf numFmtId="0" fontId="31" fillId="10" borderId="3" xfId="0" applyFont="1" applyFill="1" applyBorder="1" applyAlignment="1" applyProtection="1">
      <alignment horizontal="center" vertical="top" wrapText="1"/>
      <protection hidden="1"/>
    </xf>
    <xf numFmtId="1" fontId="6" fillId="0" borderId="0" xfId="0" applyNumberFormat="1" applyFont="1" applyAlignment="1">
      <alignment horizontal="center"/>
    </xf>
    <xf numFmtId="0" fontId="6"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wrapText="1"/>
    </xf>
    <xf numFmtId="0" fontId="20" fillId="0" borderId="1" xfId="5" applyFont="1" applyBorder="1" applyAlignment="1">
      <alignment horizontal="left"/>
    </xf>
    <xf numFmtId="165" fontId="22" fillId="6" borderId="3" xfId="5" applyNumberFormat="1" applyFont="1" applyFill="1" applyBorder="1" applyAlignment="1">
      <alignment horizontal="center" vertical="center" wrapText="1"/>
    </xf>
    <xf numFmtId="0" fontId="22" fillId="6" borderId="3" xfId="5" applyFont="1" applyFill="1" applyBorder="1" applyAlignment="1">
      <alignment horizontal="left" vertical="top" wrapText="1"/>
    </xf>
    <xf numFmtId="1" fontId="6" fillId="14" borderId="3" xfId="0" applyNumberFormat="1" applyFont="1" applyFill="1" applyBorder="1" applyAlignment="1">
      <alignment horizontal="center" vertical="center"/>
    </xf>
    <xf numFmtId="0" fontId="6" fillId="4" borderId="3" xfId="0" applyFont="1" applyFill="1" applyBorder="1" applyAlignment="1">
      <alignment horizontal="left" vertical="top" wrapText="1"/>
    </xf>
    <xf numFmtId="0" fontId="10" fillId="0" borderId="0" xfId="4" applyFont="1" applyAlignment="1">
      <alignment horizontal="left"/>
    </xf>
    <xf numFmtId="0" fontId="4" fillId="0" borderId="0" xfId="4"/>
    <xf numFmtId="0" fontId="4" fillId="0" borderId="0" xfId="4" applyAlignment="1">
      <alignment horizontal="left"/>
    </xf>
    <xf numFmtId="0" fontId="4" fillId="0" borderId="0" xfId="4" applyAlignment="1">
      <alignment horizontal="center"/>
    </xf>
    <xf numFmtId="1" fontId="0" fillId="0" borderId="0" xfId="6" applyNumberFormat="1" applyFont="1" applyAlignment="1">
      <alignment horizontal="center" vertical="center"/>
    </xf>
    <xf numFmtId="164" fontId="31" fillId="4" borderId="0" xfId="0" applyNumberFormat="1" applyFont="1" applyFill="1" applyProtection="1">
      <protection hidden="1"/>
    </xf>
    <xf numFmtId="167" fontId="31" fillId="4" borderId="0" xfId="0" applyNumberFormat="1" applyFont="1" applyFill="1" applyProtection="1">
      <protection hidden="1"/>
    </xf>
    <xf numFmtId="0" fontId="31" fillId="4" borderId="0" xfId="0" applyFont="1" applyFill="1" applyAlignment="1" applyProtection="1">
      <alignment vertical="top" wrapText="1"/>
      <protection hidden="1"/>
    </xf>
    <xf numFmtId="164" fontId="31" fillId="9" borderId="0" xfId="6" applyNumberFormat="1" applyFont="1" applyFill="1" applyAlignment="1" applyProtection="1">
      <alignment horizontal="center"/>
      <protection hidden="1"/>
    </xf>
    <xf numFmtId="0" fontId="45" fillId="4" borderId="0" xfId="0" applyFont="1" applyFill="1" applyAlignment="1" applyProtection="1">
      <alignment horizontal="left" vertical="center"/>
      <protection hidden="1"/>
    </xf>
    <xf numFmtId="0" fontId="6" fillId="14" borderId="10" xfId="0" applyFont="1" applyFill="1" applyBorder="1" applyAlignment="1">
      <alignment horizontal="left" vertical="center" wrapText="1"/>
    </xf>
    <xf numFmtId="0" fontId="6" fillId="14" borderId="6" xfId="0" applyFont="1" applyFill="1" applyBorder="1" applyAlignment="1">
      <alignment horizontal="right" vertical="center" wrapText="1"/>
    </xf>
    <xf numFmtId="0" fontId="6" fillId="14" borderId="7" xfId="0" applyFont="1" applyFill="1" applyBorder="1" applyAlignment="1">
      <alignment horizontal="right" vertical="center" wrapText="1"/>
    </xf>
    <xf numFmtId="0" fontId="6" fillId="0" borderId="11" xfId="0" applyFont="1" applyBorder="1" applyAlignment="1">
      <alignment horizontal="left" vertical="top" wrapText="1"/>
    </xf>
    <xf numFmtId="0" fontId="22" fillId="6" borderId="7" xfId="5" applyFont="1" applyFill="1" applyBorder="1" applyAlignment="1">
      <alignment horizontal="left" vertical="top" wrapText="1"/>
    </xf>
    <xf numFmtId="0" fontId="19" fillId="14" borderId="11" xfId="0" applyFont="1" applyFill="1" applyBorder="1" applyAlignment="1">
      <alignment horizontal="left" vertical="top" wrapText="1"/>
    </xf>
    <xf numFmtId="0" fontId="6" fillId="14" borderId="6" xfId="0" applyFont="1" applyFill="1" applyBorder="1" applyAlignment="1">
      <alignment horizontal="right" vertical="top" wrapText="1"/>
    </xf>
    <xf numFmtId="0" fontId="6" fillId="14" borderId="7" xfId="0" applyFont="1" applyFill="1" applyBorder="1" applyAlignment="1">
      <alignment horizontal="right" vertical="top" wrapText="1"/>
    </xf>
    <xf numFmtId="0" fontId="19" fillId="14" borderId="6" xfId="0" applyFont="1" applyFill="1" applyBorder="1" applyAlignment="1">
      <alignment horizontal="left" vertical="top" wrapText="1"/>
    </xf>
    <xf numFmtId="2" fontId="46" fillId="0" borderId="0" xfId="0" applyNumberFormat="1" applyFont="1" applyAlignment="1">
      <alignment horizontal="center" vertical="center"/>
    </xf>
    <xf numFmtId="2" fontId="6" fillId="14" borderId="3" xfId="6" applyNumberFormat="1" applyFont="1" applyFill="1" applyBorder="1" applyAlignment="1">
      <alignment horizontal="center" vertical="center" wrapText="1"/>
    </xf>
    <xf numFmtId="10" fontId="6" fillId="14" borderId="3" xfId="6" applyNumberFormat="1" applyFont="1" applyFill="1" applyBorder="1" applyAlignment="1">
      <alignment horizontal="center" vertical="center" wrapText="1"/>
    </xf>
    <xf numFmtId="2" fontId="6" fillId="14" borderId="3" xfId="0" applyNumberFormat="1" applyFont="1" applyFill="1" applyBorder="1" applyAlignment="1">
      <alignment horizontal="center" vertical="center" wrapText="1"/>
    </xf>
    <xf numFmtId="9" fontId="6" fillId="14" borderId="3" xfId="6" applyFont="1" applyFill="1" applyBorder="1" applyAlignment="1">
      <alignment horizontal="center" vertical="center" wrapText="1"/>
    </xf>
    <xf numFmtId="165" fontId="6" fillId="14" borderId="3" xfId="0" applyNumberFormat="1" applyFont="1" applyFill="1" applyBorder="1" applyAlignment="1">
      <alignment horizontal="center" vertical="center" wrapText="1"/>
    </xf>
    <xf numFmtId="1" fontId="6" fillId="0" borderId="0" xfId="0" applyNumberFormat="1" applyFont="1" applyAlignment="1">
      <alignment horizontal="center" wrapText="1"/>
    </xf>
    <xf numFmtId="0" fontId="6" fillId="0" borderId="0" xfId="0" applyFont="1" applyAlignment="1">
      <alignment horizontal="center" wrapText="1"/>
    </xf>
    <xf numFmtId="0" fontId="20" fillId="0" borderId="1" xfId="5" applyFont="1" applyBorder="1" applyAlignment="1">
      <alignment horizontal="left" wrapText="1"/>
    </xf>
    <xf numFmtId="168" fontId="6" fillId="14" borderId="3" xfId="6" applyNumberFormat="1" applyFont="1" applyFill="1" applyBorder="1" applyAlignment="1">
      <alignment horizontal="center" vertical="center" wrapText="1"/>
    </xf>
    <xf numFmtId="166" fontId="6" fillId="14" borderId="3" xfId="0" applyNumberFormat="1" applyFont="1" applyFill="1" applyBorder="1" applyAlignment="1">
      <alignment horizontal="center" vertical="center" wrapText="1"/>
    </xf>
    <xf numFmtId="0" fontId="36" fillId="4" borderId="0" xfId="0" applyFont="1" applyFill="1" applyProtection="1">
      <protection hidden="1"/>
    </xf>
    <xf numFmtId="0" fontId="47" fillId="10" borderId="3" xfId="0" applyFont="1" applyFill="1" applyBorder="1" applyAlignment="1" applyProtection="1">
      <alignment horizontal="center" wrapText="1"/>
      <protection hidden="1"/>
    </xf>
    <xf numFmtId="0" fontId="27" fillId="9" borderId="0" xfId="0" applyFont="1" applyFill="1" applyAlignment="1" applyProtection="1">
      <alignment horizontal="right" vertical="center" wrapText="1"/>
      <protection hidden="1"/>
    </xf>
    <xf numFmtId="0" fontId="31" fillId="9" borderId="0" xfId="0" applyFont="1" applyFill="1" applyAlignment="1" applyProtection="1">
      <alignment vertical="top" wrapText="1"/>
      <protection hidden="1"/>
    </xf>
    <xf numFmtId="0" fontId="31" fillId="4" borderId="0" xfId="0" applyFont="1" applyFill="1" applyAlignment="1" applyProtection="1">
      <alignment horizontal="left" vertical="top"/>
      <protection hidden="1"/>
    </xf>
    <xf numFmtId="0" fontId="26" fillId="9" borderId="0" xfId="2" applyFill="1" applyProtection="1">
      <protection hidden="1"/>
    </xf>
    <xf numFmtId="0" fontId="26" fillId="9" borderId="0" xfId="2" applyFill="1" applyAlignment="1" applyProtection="1">
      <alignment horizontal="center"/>
      <protection hidden="1"/>
    </xf>
    <xf numFmtId="0" fontId="26" fillId="9" borderId="0" xfId="2" applyFill="1" applyAlignment="1" applyProtection="1">
      <alignment horizontal="center" wrapText="1"/>
      <protection hidden="1"/>
    </xf>
    <xf numFmtId="0" fontId="48" fillId="9" borderId="0" xfId="2" applyFont="1" applyFill="1" applyAlignment="1" applyProtection="1">
      <alignment horizontal="right" vertical="center"/>
      <protection hidden="1"/>
    </xf>
    <xf numFmtId="0" fontId="48" fillId="9" borderId="0" xfId="2" applyFont="1" applyFill="1" applyAlignment="1" applyProtection="1">
      <alignment horizontal="left" vertical="center"/>
      <protection hidden="1"/>
    </xf>
    <xf numFmtId="0" fontId="29" fillId="9" borderId="0" xfId="2" applyFont="1" applyFill="1" applyAlignment="1" applyProtection="1">
      <alignment horizontal="center"/>
      <protection hidden="1"/>
    </xf>
    <xf numFmtId="0" fontId="49" fillId="9" borderId="0" xfId="2" applyFont="1" applyFill="1" applyAlignment="1" applyProtection="1">
      <alignment horizontal="center"/>
      <protection hidden="1"/>
    </xf>
    <xf numFmtId="0" fontId="49" fillId="9" borderId="0" xfId="2" applyFont="1" applyFill="1" applyAlignment="1" applyProtection="1">
      <alignment horizontal="right" vertical="center"/>
      <protection hidden="1"/>
    </xf>
    <xf numFmtId="0" fontId="49" fillId="9" borderId="0" xfId="2" applyFont="1" applyFill="1" applyAlignment="1" applyProtection="1">
      <alignment horizontal="center" vertical="center"/>
      <protection hidden="1"/>
    </xf>
    <xf numFmtId="0" fontId="49" fillId="9" borderId="0" xfId="2" applyFont="1" applyFill="1" applyProtection="1">
      <protection hidden="1"/>
    </xf>
    <xf numFmtId="0" fontId="29" fillId="9" borderId="0" xfId="2" applyFont="1" applyFill="1" applyAlignment="1" applyProtection="1">
      <alignment horizontal="left"/>
      <protection hidden="1"/>
    </xf>
    <xf numFmtId="2" fontId="26" fillId="10" borderId="3" xfId="2" applyNumberFormat="1" applyFill="1" applyBorder="1" applyAlignment="1" applyProtection="1">
      <alignment horizontal="center"/>
      <protection hidden="1"/>
    </xf>
    <xf numFmtId="2" fontId="26" fillId="9" borderId="0" xfId="2" applyNumberFormat="1" applyFill="1" applyProtection="1">
      <protection hidden="1"/>
    </xf>
    <xf numFmtId="0" fontId="50" fillId="9" borderId="0" xfId="2" applyFont="1" applyFill="1" applyAlignment="1" applyProtection="1">
      <alignment horizontal="center" vertical="top"/>
      <protection hidden="1"/>
    </xf>
    <xf numFmtId="0" fontId="26" fillId="10" borderId="3" xfId="2" applyFill="1" applyBorder="1" applyAlignment="1" applyProtection="1">
      <alignment horizontal="center"/>
      <protection hidden="1"/>
    </xf>
    <xf numFmtId="4" fontId="26" fillId="10" borderId="3" xfId="2" applyNumberFormat="1" applyFill="1" applyBorder="1" applyAlignment="1" applyProtection="1">
      <alignment horizontal="center"/>
      <protection hidden="1"/>
    </xf>
    <xf numFmtId="10" fontId="26" fillId="10" borderId="3" xfId="2" applyNumberFormat="1" applyFill="1" applyBorder="1" applyAlignment="1" applyProtection="1">
      <alignment horizontal="center"/>
      <protection hidden="1"/>
    </xf>
    <xf numFmtId="2" fontId="26" fillId="10" borderId="3" xfId="2" applyNumberFormat="1" applyFill="1" applyBorder="1" applyAlignment="1" applyProtection="1">
      <alignment horizontal="center" vertical="center"/>
      <protection hidden="1"/>
    </xf>
    <xf numFmtId="0" fontId="51" fillId="9" borderId="0" xfId="2" applyFont="1" applyFill="1" applyAlignment="1" applyProtection="1">
      <alignment horizontal="left"/>
      <protection hidden="1"/>
    </xf>
    <xf numFmtId="2" fontId="26" fillId="9" borderId="0" xfId="2" applyNumberFormat="1" applyFill="1" applyAlignment="1" applyProtection="1">
      <alignment horizontal="center"/>
      <protection hidden="1"/>
    </xf>
    <xf numFmtId="0" fontId="26" fillId="0" borderId="0" xfId="2" applyAlignment="1" applyProtection="1">
      <alignment horizontal="center"/>
      <protection hidden="1"/>
    </xf>
    <xf numFmtId="0" fontId="26" fillId="9" borderId="0" xfId="2" applyFill="1" applyAlignment="1" applyProtection="1">
      <alignment horizontal="right" vertical="center"/>
      <protection hidden="1"/>
    </xf>
    <xf numFmtId="0" fontId="51" fillId="9" borderId="0" xfId="2" applyFont="1" applyFill="1" applyAlignment="1" applyProtection="1">
      <alignment horizontal="left" vertical="center"/>
      <protection hidden="1"/>
    </xf>
    <xf numFmtId="10" fontId="26" fillId="9" borderId="0" xfId="2" applyNumberFormat="1" applyFill="1" applyAlignment="1" applyProtection="1">
      <alignment horizontal="center"/>
      <protection hidden="1"/>
    </xf>
    <xf numFmtId="0" fontId="51" fillId="9" borderId="0" xfId="2" applyFont="1" applyFill="1" applyProtection="1">
      <protection hidden="1"/>
    </xf>
    <xf numFmtId="0" fontId="26" fillId="9" borderId="0" xfId="2" applyFill="1" applyAlignment="1" applyProtection="1">
      <alignment vertical="center"/>
      <protection hidden="1"/>
    </xf>
    <xf numFmtId="0" fontId="26" fillId="10" borderId="3" xfId="2" applyFill="1" applyBorder="1" applyAlignment="1" applyProtection="1">
      <alignment horizontal="center" vertical="center"/>
      <protection hidden="1"/>
    </xf>
    <xf numFmtId="0" fontId="29" fillId="9" borderId="0" xfId="2" applyFont="1" applyFill="1" applyProtection="1">
      <protection hidden="1"/>
    </xf>
    <xf numFmtId="0" fontId="28" fillId="10" borderId="3" xfId="2" applyFont="1" applyFill="1" applyBorder="1" applyAlignment="1" applyProtection="1">
      <alignment horizontal="left"/>
      <protection hidden="1"/>
    </xf>
    <xf numFmtId="0" fontId="26" fillId="10" borderId="3" xfId="2" applyFill="1" applyBorder="1" applyAlignment="1" applyProtection="1">
      <alignment horizontal="center" wrapText="1"/>
      <protection hidden="1"/>
    </xf>
    <xf numFmtId="0" fontId="26" fillId="10" borderId="3" xfId="2" applyFill="1" applyBorder="1" applyProtection="1">
      <protection hidden="1"/>
    </xf>
    <xf numFmtId="9" fontId="26" fillId="10" borderId="3" xfId="2" applyNumberFormat="1" applyFill="1" applyBorder="1" applyAlignment="1" applyProtection="1">
      <alignment horizontal="center"/>
      <protection hidden="1"/>
    </xf>
    <xf numFmtId="0" fontId="26" fillId="10" borderId="0" xfId="2" applyFill="1" applyAlignment="1" applyProtection="1">
      <alignment horizontal="center"/>
      <protection hidden="1"/>
    </xf>
    <xf numFmtId="0" fontId="26" fillId="10" borderId="0" xfId="2" applyFill="1" applyProtection="1">
      <protection hidden="1"/>
    </xf>
    <xf numFmtId="2" fontId="26" fillId="10" borderId="3" xfId="2" applyNumberFormat="1" applyFill="1" applyBorder="1" applyAlignment="1" applyProtection="1">
      <alignment horizontal="center" vertical="center" wrapText="1"/>
      <protection hidden="1"/>
    </xf>
    <xf numFmtId="2" fontId="47" fillId="10" borderId="3" xfId="2" applyNumberFormat="1" applyFont="1" applyFill="1" applyBorder="1" applyAlignment="1" applyProtection="1">
      <alignment horizontal="center" wrapText="1"/>
      <protection hidden="1"/>
    </xf>
    <xf numFmtId="2" fontId="47" fillId="10" borderId="3" xfId="2" applyNumberFormat="1" applyFont="1" applyFill="1" applyBorder="1" applyAlignment="1" applyProtection="1">
      <alignment horizontal="center" vertical="center"/>
      <protection hidden="1"/>
    </xf>
    <xf numFmtId="2" fontId="47" fillId="10" borderId="10" xfId="2" applyNumberFormat="1" applyFont="1" applyFill="1" applyBorder="1" applyAlignment="1" applyProtection="1">
      <alignment horizontal="center"/>
      <protection hidden="1"/>
    </xf>
    <xf numFmtId="0" fontId="26" fillId="10" borderId="3" xfId="2" applyFill="1" applyBorder="1" applyAlignment="1" applyProtection="1">
      <alignment wrapText="1"/>
      <protection hidden="1"/>
    </xf>
    <xf numFmtId="2" fontId="26" fillId="9" borderId="0" xfId="2" applyNumberFormat="1" applyFill="1" applyAlignment="1" applyProtection="1">
      <alignment horizontal="center" wrapText="1"/>
      <protection hidden="1"/>
    </xf>
    <xf numFmtId="164" fontId="26" fillId="9" borderId="0" xfId="2" applyNumberFormat="1" applyFill="1" applyAlignment="1" applyProtection="1">
      <alignment horizontal="center"/>
      <protection hidden="1"/>
    </xf>
    <xf numFmtId="0" fontId="26" fillId="9" borderId="0" xfId="2" applyFill="1" applyAlignment="1" applyProtection="1">
      <alignment horizontal="right"/>
      <protection hidden="1"/>
    </xf>
    <xf numFmtId="0" fontId="26" fillId="10" borderId="3" xfId="2" applyFill="1" applyBorder="1" applyAlignment="1" applyProtection="1">
      <alignment horizontal="right"/>
      <protection hidden="1"/>
    </xf>
    <xf numFmtId="0" fontId="26" fillId="10" borderId="5" xfId="2" applyFill="1" applyBorder="1" applyAlignment="1" applyProtection="1">
      <alignment horizontal="center"/>
      <protection hidden="1"/>
    </xf>
    <xf numFmtId="0" fontId="26" fillId="10" borderId="9" xfId="2" applyFill="1" applyBorder="1" applyProtection="1">
      <protection hidden="1"/>
    </xf>
    <xf numFmtId="0" fontId="26" fillId="10" borderId="10" xfId="2" applyFill="1" applyBorder="1" applyProtection="1">
      <protection hidden="1"/>
    </xf>
    <xf numFmtId="0" fontId="26" fillId="0" borderId="0" xfId="2" applyProtection="1">
      <protection hidden="1"/>
    </xf>
    <xf numFmtId="0" fontId="26" fillId="9" borderId="0" xfId="2" applyFill="1" applyAlignment="1" applyProtection="1">
      <alignment horizontal="left"/>
      <protection hidden="1"/>
    </xf>
    <xf numFmtId="0" fontId="47" fillId="9" borderId="3" xfId="0" applyFont="1" applyFill="1" applyBorder="1" applyAlignment="1" applyProtection="1">
      <alignment horizontal="center" wrapText="1"/>
      <protection locked="0" hidden="1"/>
    </xf>
    <xf numFmtId="0" fontId="47" fillId="9" borderId="3" xfId="0" applyFont="1" applyFill="1" applyBorder="1" applyAlignment="1" applyProtection="1">
      <alignment horizontal="center" vertical="center" wrapText="1"/>
      <protection locked="0" hidden="1"/>
    </xf>
    <xf numFmtId="0" fontId="26" fillId="9" borderId="3" xfId="2" applyFill="1" applyBorder="1" applyAlignment="1" applyProtection="1">
      <alignment horizontal="center"/>
      <protection locked="0" hidden="1"/>
    </xf>
    <xf numFmtId="0" fontId="31" fillId="9" borderId="0" xfId="3" applyFont="1" applyFill="1"/>
    <xf numFmtId="0" fontId="52" fillId="9" borderId="0" xfId="3" applyFont="1" applyFill="1" applyAlignment="1" applyProtection="1">
      <alignment horizontal="left" vertical="center"/>
      <protection hidden="1"/>
    </xf>
    <xf numFmtId="0" fontId="52" fillId="9" borderId="0" xfId="3" applyFont="1" applyFill="1" applyAlignment="1" applyProtection="1">
      <alignment horizontal="left" vertical="center" wrapText="1"/>
      <protection hidden="1"/>
    </xf>
    <xf numFmtId="0" fontId="47" fillId="9" borderId="0" xfId="3" applyFont="1" applyFill="1" applyAlignment="1">
      <alignment horizontal="center"/>
    </xf>
    <xf numFmtId="0" fontId="47" fillId="9" borderId="0" xfId="3" applyFont="1" applyFill="1"/>
    <xf numFmtId="2" fontId="47" fillId="9" borderId="3" xfId="3" applyNumberFormat="1" applyFont="1" applyFill="1" applyBorder="1" applyAlignment="1">
      <alignment horizontal="center" vertical="center"/>
    </xf>
    <xf numFmtId="14" fontId="47" fillId="9" borderId="3" xfId="3" applyNumberFormat="1" applyFont="1" applyFill="1" applyBorder="1" applyAlignment="1">
      <alignment horizontal="center" vertical="center"/>
    </xf>
    <xf numFmtId="2" fontId="47" fillId="9" borderId="0" xfId="3" applyNumberFormat="1" applyFont="1" applyFill="1" applyAlignment="1">
      <alignment horizontal="center" vertical="center"/>
    </xf>
    <xf numFmtId="14" fontId="47" fillId="9" borderId="0" xfId="3" applyNumberFormat="1" applyFont="1" applyFill="1" applyAlignment="1">
      <alignment horizontal="center" vertical="center"/>
    </xf>
    <xf numFmtId="0" fontId="47" fillId="9" borderId="0" xfId="3" applyFont="1" applyFill="1" applyAlignment="1">
      <alignment horizontal="left" vertical="top" wrapText="1"/>
    </xf>
    <xf numFmtId="0" fontId="31" fillId="4" borderId="0" xfId="3" applyFont="1" applyFill="1"/>
    <xf numFmtId="0" fontId="45" fillId="9" borderId="0" xfId="0" applyFont="1" applyFill="1" applyAlignment="1" applyProtection="1">
      <alignment horizontal="left" vertical="center"/>
      <protection hidden="1"/>
    </xf>
    <xf numFmtId="0" fontId="31" fillId="9" borderId="3" xfId="0" applyFont="1" applyFill="1" applyBorder="1" applyAlignment="1" applyProtection="1">
      <alignment horizontal="center"/>
      <protection hidden="1"/>
    </xf>
    <xf numFmtId="0" fontId="31" fillId="9" borderId="3" xfId="0" applyFont="1" applyFill="1" applyBorder="1" applyAlignment="1" applyProtection="1">
      <alignment horizontal="center"/>
      <protection locked="0"/>
    </xf>
    <xf numFmtId="0" fontId="45" fillId="9" borderId="0" xfId="0" applyFont="1" applyFill="1" applyAlignment="1" applyProtection="1">
      <alignment vertical="top" wrapText="1"/>
      <protection hidden="1"/>
    </xf>
    <xf numFmtId="0" fontId="31" fillId="9" borderId="3" xfId="0" applyFont="1" applyFill="1" applyBorder="1" applyProtection="1">
      <protection hidden="1"/>
    </xf>
    <xf numFmtId="0" fontId="31" fillId="4" borderId="0" xfId="0" applyFont="1" applyFill="1" applyAlignment="1" applyProtection="1">
      <alignment horizontal="left" vertical="top" wrapText="1"/>
      <protection hidden="1"/>
    </xf>
    <xf numFmtId="0" fontId="53" fillId="18" borderId="0" xfId="0" applyFont="1" applyFill="1" applyAlignment="1" applyProtection="1">
      <alignment vertical="center"/>
      <protection hidden="1"/>
    </xf>
    <xf numFmtId="2" fontId="31" fillId="10" borderId="9" xfId="0" applyNumberFormat="1"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31" fillId="9" borderId="0" xfId="0" applyFont="1" applyFill="1" applyAlignment="1" applyProtection="1">
      <alignment horizontal="left"/>
      <protection hidden="1"/>
    </xf>
    <xf numFmtId="0" fontId="31" fillId="9" borderId="0" xfId="0" applyFont="1" applyFill="1" applyAlignment="1" applyProtection="1">
      <alignment horizontal="left" vertical="top" wrapText="1"/>
      <protection hidden="1"/>
    </xf>
    <xf numFmtId="0" fontId="31" fillId="9" borderId="12" xfId="0" applyFont="1" applyFill="1" applyBorder="1" applyAlignment="1" applyProtection="1">
      <alignment vertical="top" wrapText="1"/>
      <protection hidden="1"/>
    </xf>
    <xf numFmtId="0" fontId="54" fillId="18" borderId="0" xfId="0" applyFont="1" applyFill="1" applyAlignment="1" applyProtection="1">
      <alignment vertical="center"/>
      <protection hidden="1"/>
    </xf>
    <xf numFmtId="0" fontId="42" fillId="18" borderId="3" xfId="0" applyFont="1" applyFill="1" applyBorder="1" applyAlignment="1" applyProtection="1">
      <alignment horizontal="left"/>
      <protection hidden="1"/>
    </xf>
    <xf numFmtId="0" fontId="42" fillId="18" borderId="3" xfId="0" applyFont="1" applyFill="1" applyBorder="1" applyAlignment="1" applyProtection="1">
      <alignment horizontal="center"/>
      <protection hidden="1"/>
    </xf>
    <xf numFmtId="0" fontId="42" fillId="18" borderId="5" xfId="0" applyFont="1" applyFill="1" applyBorder="1" applyAlignment="1" applyProtection="1">
      <alignment horizontal="left"/>
      <protection hidden="1"/>
    </xf>
    <xf numFmtId="0" fontId="42" fillId="18" borderId="10" xfId="0" applyFont="1" applyFill="1" applyBorder="1" applyAlignment="1" applyProtection="1">
      <alignment horizontal="center"/>
      <protection hidden="1"/>
    </xf>
    <xf numFmtId="0" fontId="42" fillId="18" borderId="10" xfId="0" applyFont="1" applyFill="1" applyBorder="1" applyAlignment="1" applyProtection="1">
      <alignment horizontal="left"/>
      <protection hidden="1"/>
    </xf>
    <xf numFmtId="0" fontId="42" fillId="18" borderId="9" xfId="0" applyFont="1" applyFill="1" applyBorder="1" applyAlignment="1" applyProtection="1">
      <alignment horizontal="left"/>
      <protection hidden="1"/>
    </xf>
    <xf numFmtId="0" fontId="42" fillId="18" borderId="11" xfId="0" applyFont="1" applyFill="1" applyBorder="1" applyAlignment="1" applyProtection="1">
      <alignment horizontal="center"/>
      <protection hidden="1"/>
    </xf>
    <xf numFmtId="0" fontId="42" fillId="18" borderId="5" xfId="0" applyFont="1" applyFill="1" applyBorder="1" applyProtection="1">
      <protection hidden="1"/>
    </xf>
    <xf numFmtId="0" fontId="42" fillId="18" borderId="9" xfId="0" applyFont="1" applyFill="1" applyBorder="1" applyProtection="1">
      <protection hidden="1"/>
    </xf>
    <xf numFmtId="0" fontId="42" fillId="18" borderId="10" xfId="0" applyFont="1" applyFill="1" applyBorder="1" applyProtection="1">
      <protection hidden="1"/>
    </xf>
    <xf numFmtId="0" fontId="42" fillId="18" borderId="11" xfId="0" applyFont="1" applyFill="1" applyBorder="1" applyAlignment="1" applyProtection="1">
      <alignment horizontal="center" wrapText="1"/>
      <protection hidden="1"/>
    </xf>
    <xf numFmtId="0" fontId="42" fillId="18" borderId="3" xfId="0" applyFont="1" applyFill="1" applyBorder="1" applyAlignment="1" applyProtection="1">
      <alignment horizontal="right" vertical="center"/>
      <protection hidden="1"/>
    </xf>
    <xf numFmtId="0" fontId="42" fillId="18" borderId="11" xfId="0" applyFont="1" applyFill="1" applyBorder="1" applyAlignment="1" applyProtection="1">
      <alignment horizontal="left"/>
      <protection hidden="1"/>
    </xf>
    <xf numFmtId="2" fontId="32" fillId="10" borderId="10" xfId="0" applyNumberFormat="1" applyFont="1" applyFill="1" applyBorder="1" applyAlignment="1" applyProtection="1">
      <alignment horizontal="center" vertical="center"/>
      <protection hidden="1"/>
    </xf>
    <xf numFmtId="0" fontId="42" fillId="18" borderId="5" xfId="0" applyFont="1" applyFill="1" applyBorder="1" applyAlignment="1" applyProtection="1">
      <alignment horizontal="right" vertical="center"/>
      <protection hidden="1"/>
    </xf>
    <xf numFmtId="0" fontId="42" fillId="18" borderId="9" xfId="0" applyFont="1" applyFill="1" applyBorder="1" applyAlignment="1" applyProtection="1">
      <alignment horizontal="right" vertical="center"/>
      <protection hidden="1"/>
    </xf>
    <xf numFmtId="0" fontId="42" fillId="18" borderId="10" xfId="0" applyFont="1" applyFill="1" applyBorder="1" applyAlignment="1" applyProtection="1">
      <alignment horizontal="right" vertical="center"/>
      <protection hidden="1"/>
    </xf>
    <xf numFmtId="0" fontId="55" fillId="18" borderId="0" xfId="0" applyFont="1" applyFill="1" applyAlignment="1" applyProtection="1">
      <alignment vertical="center"/>
      <protection hidden="1"/>
    </xf>
    <xf numFmtId="0" fontId="42" fillId="19" borderId="5" xfId="0" applyFont="1" applyFill="1" applyBorder="1" applyAlignment="1" applyProtection="1">
      <alignment wrapText="1"/>
      <protection hidden="1"/>
    </xf>
    <xf numFmtId="0" fontId="42" fillId="19" borderId="9" xfId="0" applyFont="1" applyFill="1" applyBorder="1" applyProtection="1">
      <protection hidden="1"/>
    </xf>
    <xf numFmtId="0" fontId="42" fillId="19" borderId="10" xfId="0" applyFont="1" applyFill="1" applyBorder="1" applyProtection="1">
      <protection hidden="1"/>
    </xf>
    <xf numFmtId="0" fontId="42" fillId="19" borderId="3" xfId="0" applyFont="1" applyFill="1" applyBorder="1" applyAlignment="1" applyProtection="1">
      <alignment horizontal="center" wrapText="1"/>
      <protection hidden="1"/>
    </xf>
    <xf numFmtId="0" fontId="42" fillId="19" borderId="10" xfId="0" applyFont="1" applyFill="1" applyBorder="1" applyAlignment="1" applyProtection="1">
      <alignment horizontal="center" wrapText="1"/>
      <protection hidden="1"/>
    </xf>
    <xf numFmtId="0" fontId="42" fillId="19" borderId="3" xfId="0" applyFont="1" applyFill="1" applyBorder="1" applyAlignment="1" applyProtection="1">
      <alignment horizontal="left"/>
      <protection hidden="1"/>
    </xf>
    <xf numFmtId="0" fontId="42" fillId="19" borderId="5" xfId="0" applyFont="1" applyFill="1" applyBorder="1" applyAlignment="1" applyProtection="1">
      <alignment horizontal="right" vertical="center"/>
      <protection hidden="1"/>
    </xf>
    <xf numFmtId="0" fontId="42" fillId="19" borderId="9" xfId="0" applyFont="1" applyFill="1" applyBorder="1" applyAlignment="1" applyProtection="1">
      <alignment horizontal="right" vertical="center"/>
      <protection hidden="1"/>
    </xf>
    <xf numFmtId="0" fontId="42" fillId="19" borderId="10" xfId="0" applyFont="1" applyFill="1" applyBorder="1" applyAlignment="1" applyProtection="1">
      <alignment horizontal="right" vertical="center"/>
      <protection hidden="1"/>
    </xf>
    <xf numFmtId="0" fontId="42" fillId="19" borderId="5" xfId="0" applyFont="1" applyFill="1" applyBorder="1" applyProtection="1">
      <protection hidden="1"/>
    </xf>
    <xf numFmtId="0" fontId="42" fillId="19" borderId="3" xfId="0" applyFont="1" applyFill="1" applyBorder="1" applyAlignment="1" applyProtection="1">
      <alignment wrapText="1"/>
      <protection hidden="1"/>
    </xf>
    <xf numFmtId="0" fontId="56" fillId="19" borderId="9" xfId="0" applyFont="1" applyFill="1" applyBorder="1" applyProtection="1">
      <protection hidden="1"/>
    </xf>
    <xf numFmtId="0" fontId="56" fillId="19" borderId="10" xfId="0" applyFont="1" applyFill="1" applyBorder="1" applyProtection="1">
      <protection hidden="1"/>
    </xf>
    <xf numFmtId="0" fontId="42" fillId="19" borderId="5" xfId="0" applyFont="1" applyFill="1" applyBorder="1" applyAlignment="1" applyProtection="1">
      <alignment horizontal="left"/>
      <protection hidden="1"/>
    </xf>
    <xf numFmtId="0" fontId="42" fillId="19" borderId="3" xfId="0" applyFont="1" applyFill="1" applyBorder="1" applyAlignment="1" applyProtection="1">
      <alignment horizontal="center"/>
      <protection hidden="1"/>
    </xf>
    <xf numFmtId="0" fontId="27" fillId="19" borderId="3" xfId="0" applyFont="1" applyFill="1" applyBorder="1" applyAlignment="1" applyProtection="1">
      <alignment horizontal="center" wrapText="1"/>
      <protection hidden="1"/>
    </xf>
    <xf numFmtId="0" fontId="27" fillId="19" borderId="5" xfId="0" applyFont="1" applyFill="1" applyBorder="1" applyAlignment="1" applyProtection="1">
      <alignment horizontal="center" wrapText="1"/>
      <protection hidden="1"/>
    </xf>
    <xf numFmtId="0" fontId="27" fillId="19" borderId="3" xfId="0" applyFont="1" applyFill="1" applyBorder="1" applyAlignment="1" applyProtection="1">
      <alignment horizontal="right" wrapText="1"/>
      <protection hidden="1"/>
    </xf>
    <xf numFmtId="0" fontId="27" fillId="19" borderId="0" xfId="3" applyFont="1" applyFill="1" applyAlignment="1" applyProtection="1">
      <alignment horizontal="center"/>
      <protection hidden="1"/>
    </xf>
    <xf numFmtId="0" fontId="27" fillId="19" borderId="0" xfId="3" applyFont="1" applyFill="1" applyProtection="1">
      <protection hidden="1"/>
    </xf>
    <xf numFmtId="0" fontId="27" fillId="19" borderId="0" xfId="3" applyFont="1" applyFill="1"/>
    <xf numFmtId="0" fontId="42" fillId="19" borderId="5" xfId="0" applyFont="1" applyFill="1" applyBorder="1" applyAlignment="1" applyProtection="1">
      <alignment horizontal="right" vertical="center" wrapText="1"/>
      <protection hidden="1"/>
    </xf>
    <xf numFmtId="0" fontId="31" fillId="0" borderId="0" xfId="0" applyFont="1" applyAlignment="1" applyProtection="1">
      <alignment horizontal="left" vertical="top" wrapText="1"/>
      <protection hidden="1"/>
    </xf>
    <xf numFmtId="0" fontId="27" fillId="18" borderId="0" xfId="0" applyFont="1" applyFill="1" applyAlignment="1" applyProtection="1">
      <alignment vertical="center"/>
      <protection hidden="1"/>
    </xf>
    <xf numFmtId="0" fontId="27" fillId="18" borderId="0" xfId="0" applyFont="1" applyFill="1" applyAlignment="1" applyProtection="1">
      <alignment horizontal="right" vertical="center"/>
      <protection hidden="1"/>
    </xf>
    <xf numFmtId="0" fontId="42" fillId="18" borderId="0" xfId="0" applyFont="1" applyFill="1" applyAlignment="1" applyProtection="1">
      <alignment horizontal="right" vertical="center"/>
      <protection hidden="1"/>
    </xf>
    <xf numFmtId="0" fontId="31" fillId="9" borderId="0" xfId="0" applyFont="1" applyFill="1" applyAlignment="1" applyProtection="1">
      <alignment horizontal="left" vertical="center"/>
      <protection locked="0"/>
    </xf>
    <xf numFmtId="0" fontId="31" fillId="9" borderId="0" xfId="0" applyFont="1" applyFill="1" applyProtection="1">
      <protection locked="0"/>
    </xf>
    <xf numFmtId="0" fontId="43" fillId="4" borderId="0" xfId="0" applyFont="1" applyFill="1" applyAlignment="1" applyProtection="1">
      <alignment horizontal="center" vertical="center"/>
      <protection hidden="1"/>
    </xf>
    <xf numFmtId="0" fontId="31" fillId="9" borderId="0" xfId="0" applyFont="1" applyFill="1" applyAlignment="1" applyProtection="1">
      <alignment vertical="center"/>
      <protection locked="0"/>
    </xf>
    <xf numFmtId="0" fontId="26" fillId="9" borderId="0" xfId="2" applyFill="1" applyAlignment="1" applyProtection="1">
      <alignment horizontal="center" vertical="center"/>
      <protection locked="0" hidden="1"/>
    </xf>
    <xf numFmtId="0" fontId="27" fillId="9" borderId="0" xfId="0" applyFont="1" applyFill="1" applyAlignment="1" applyProtection="1">
      <alignment vertical="center"/>
      <protection hidden="1"/>
    </xf>
    <xf numFmtId="0" fontId="53" fillId="9" borderId="0" xfId="0" applyFont="1" applyFill="1" applyAlignment="1" applyProtection="1">
      <alignment vertical="center"/>
      <protection hidden="1"/>
    </xf>
    <xf numFmtId="0" fontId="57" fillId="4" borderId="3" xfId="0" applyFont="1" applyFill="1" applyBorder="1" applyProtection="1">
      <protection hidden="1"/>
    </xf>
    <xf numFmtId="0" fontId="31" fillId="4" borderId="3" xfId="0" applyFont="1" applyFill="1" applyBorder="1" applyProtection="1">
      <protection hidden="1"/>
    </xf>
    <xf numFmtId="0" fontId="28" fillId="9" borderId="0" xfId="2" applyFont="1" applyFill="1" applyProtection="1">
      <protection hidden="1"/>
    </xf>
    <xf numFmtId="10" fontId="26" fillId="10" borderId="0" xfId="2" applyNumberFormat="1" applyFill="1" applyAlignment="1" applyProtection="1">
      <alignment horizontal="center"/>
      <protection hidden="1"/>
    </xf>
    <xf numFmtId="10" fontId="47" fillId="9" borderId="3" xfId="6" applyNumberFormat="1" applyFont="1" applyFill="1" applyBorder="1" applyAlignment="1" applyProtection="1">
      <alignment horizontal="center" vertical="center"/>
      <protection locked="0" hidden="1"/>
    </xf>
    <xf numFmtId="0" fontId="47" fillId="9" borderId="3" xfId="2" applyFont="1" applyFill="1" applyBorder="1" applyAlignment="1" applyProtection="1">
      <alignment horizontal="center" vertical="center"/>
      <protection locked="0" hidden="1"/>
    </xf>
    <xf numFmtId="164" fontId="47" fillId="9" borderId="3" xfId="3" applyNumberFormat="1" applyFont="1" applyFill="1" applyBorder="1" applyAlignment="1">
      <alignment horizontal="center" vertical="center"/>
    </xf>
    <xf numFmtId="0" fontId="2" fillId="10" borderId="3" xfId="2" applyFont="1" applyFill="1" applyBorder="1" applyProtection="1">
      <protection hidden="1"/>
    </xf>
    <xf numFmtId="0" fontId="27" fillId="9" borderId="12" xfId="0" applyFont="1" applyFill="1" applyBorder="1" applyAlignment="1" applyProtection="1">
      <alignment vertical="center"/>
      <protection hidden="1"/>
    </xf>
    <xf numFmtId="0" fontId="27" fillId="9" borderId="0" xfId="3" applyFont="1" applyFill="1" applyAlignment="1" applyProtection="1">
      <alignment horizontal="center"/>
      <protection hidden="1"/>
    </xf>
    <xf numFmtId="0" fontId="27" fillId="9" borderId="0" xfId="3" applyFont="1" applyFill="1" applyProtection="1">
      <protection hidden="1"/>
    </xf>
    <xf numFmtId="0" fontId="27" fillId="9" borderId="0" xfId="3" applyFont="1" applyFill="1"/>
    <xf numFmtId="0" fontId="42" fillId="9" borderId="0" xfId="3" applyFont="1" applyFill="1"/>
    <xf numFmtId="0" fontId="31" fillId="4" borderId="0" xfId="0" applyFont="1" applyFill="1"/>
    <xf numFmtId="0" fontId="0" fillId="9" borderId="0" xfId="0" applyFill="1"/>
    <xf numFmtId="0" fontId="0" fillId="9" borderId="0" xfId="0" applyFill="1" applyAlignment="1">
      <alignment vertical="top" wrapText="1"/>
    </xf>
    <xf numFmtId="0" fontId="0" fillId="9" borderId="0" xfId="0" applyFill="1" applyAlignment="1">
      <alignment vertical="top"/>
    </xf>
    <xf numFmtId="0" fontId="3" fillId="9" borderId="0" xfId="0" applyFont="1" applyFill="1" applyAlignment="1">
      <alignment vertical="top" wrapText="1"/>
    </xf>
    <xf numFmtId="1" fontId="3" fillId="0" borderId="0" xfId="0" applyNumberFormat="1" applyFont="1" applyAlignment="1">
      <alignment horizontal="center"/>
    </xf>
    <xf numFmtId="1" fontId="3" fillId="0" borderId="0" xfId="0" applyNumberFormat="1" applyFont="1" applyAlignment="1">
      <alignment horizontal="center" wrapText="1"/>
    </xf>
    <xf numFmtId="0" fontId="6" fillId="13" borderId="5" xfId="0" applyFont="1" applyFill="1" applyBorder="1" applyAlignment="1">
      <alignment wrapText="1"/>
    </xf>
    <xf numFmtId="2" fontId="6" fillId="13" borderId="9" xfId="0" applyNumberFormat="1" applyFont="1" applyFill="1" applyBorder="1" applyAlignment="1">
      <alignment horizontal="left"/>
    </xf>
    <xf numFmtId="2" fontId="6" fillId="13" borderId="10" xfId="0" applyNumberFormat="1" applyFont="1" applyFill="1" applyBorder="1" applyAlignment="1">
      <alignment horizontal="left"/>
    </xf>
    <xf numFmtId="0" fontId="6" fillId="13" borderId="9" xfId="0" applyFont="1" applyFill="1" applyBorder="1"/>
    <xf numFmtId="0" fontId="6" fillId="13" borderId="10" xfId="0" applyFont="1" applyFill="1" applyBorder="1"/>
    <xf numFmtId="0" fontId="6" fillId="13" borderId="3" xfId="0" applyFont="1" applyFill="1" applyBorder="1"/>
    <xf numFmtId="1" fontId="6" fillId="0" borderId="0" xfId="0" applyNumberFormat="1" applyFont="1" applyAlignment="1">
      <alignment horizontal="center" vertical="center"/>
    </xf>
    <xf numFmtId="10" fontId="3" fillId="0" borderId="3" xfId="6" applyNumberFormat="1" applyFont="1" applyFill="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6" fillId="0" borderId="0" xfId="0" applyFont="1" applyAlignment="1">
      <alignment horizontal="center" vertical="center"/>
    </xf>
    <xf numFmtId="2" fontId="6" fillId="0" borderId="3" xfId="0" applyNumberFormat="1" applyFont="1" applyBorder="1" applyAlignment="1">
      <alignment horizontal="left" vertical="center" wrapText="1"/>
    </xf>
    <xf numFmtId="10" fontId="3" fillId="20" borderId="3" xfId="6" applyNumberFormat="1" applyFont="1" applyFill="1" applyBorder="1" applyAlignment="1" applyProtection="1">
      <alignment horizontal="center" vertical="center"/>
      <protection hidden="1"/>
    </xf>
    <xf numFmtId="0" fontId="3" fillId="0" borderId="0" xfId="0" applyFont="1"/>
    <xf numFmtId="168" fontId="3" fillId="0" borderId="0" xfId="6" applyNumberFormat="1"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Alignment="1">
      <alignment vertical="top"/>
    </xf>
    <xf numFmtId="1" fontId="3" fillId="0" borderId="0" xfId="0" applyNumberFormat="1" applyFont="1" applyAlignment="1">
      <alignment horizontal="center" vertical="top"/>
    </xf>
    <xf numFmtId="168" fontId="3" fillId="0" borderId="3" xfId="6" applyNumberFormat="1" applyFont="1" applyFill="1" applyBorder="1" applyAlignment="1" applyProtection="1">
      <alignment horizontal="center" vertical="center"/>
      <protection hidden="1"/>
    </xf>
    <xf numFmtId="0" fontId="3" fillId="0" borderId="0" xfId="0" applyFont="1" applyAlignment="1">
      <alignment horizontal="center"/>
    </xf>
    <xf numFmtId="0" fontId="3" fillId="0" borderId="0" xfId="0" applyFont="1" applyAlignment="1">
      <alignment horizontal="left" vertical="center"/>
    </xf>
    <xf numFmtId="2" fontId="3" fillId="0" borderId="0" xfId="0" applyNumberFormat="1" applyFont="1" applyAlignment="1">
      <alignment horizontal="center" vertical="center"/>
    </xf>
    <xf numFmtId="0" fontId="3" fillId="0" borderId="0" xfId="0" applyFont="1" applyAlignment="1">
      <alignment horizontal="center" vertical="center"/>
    </xf>
    <xf numFmtId="0" fontId="3" fillId="0" borderId="3" xfId="0" applyFont="1" applyBorder="1"/>
    <xf numFmtId="0" fontId="3" fillId="4" borderId="0" xfId="0" applyFont="1" applyFill="1" applyAlignment="1" applyProtection="1">
      <alignment horizontal="center"/>
      <protection hidden="1"/>
    </xf>
    <xf numFmtId="0" fontId="3" fillId="4" borderId="0" xfId="0" applyFont="1" applyFill="1" applyProtection="1">
      <protection hidden="1"/>
    </xf>
    <xf numFmtId="0" fontId="3" fillId="9" borderId="0" xfId="0" applyFont="1" applyFill="1" applyAlignment="1" applyProtection="1">
      <alignment vertical="top" wrapText="1"/>
      <protection hidden="1"/>
    </xf>
    <xf numFmtId="0" fontId="3" fillId="9" borderId="0" xfId="0" applyFont="1" applyFill="1" applyAlignment="1" applyProtection="1">
      <alignment vertical="top"/>
      <protection hidden="1"/>
    </xf>
    <xf numFmtId="0" fontId="3" fillId="9" borderId="0" xfId="0" applyFont="1" applyFill="1" applyAlignment="1" applyProtection="1">
      <alignment vertical="center" wrapText="1"/>
      <protection hidden="1"/>
    </xf>
    <xf numFmtId="9" fontId="2" fillId="9" borderId="0" xfId="6" applyFont="1" applyFill="1" applyAlignment="1" applyProtection="1">
      <alignment horizontal="center"/>
      <protection hidden="1"/>
    </xf>
    <xf numFmtId="10" fontId="2" fillId="9" borderId="7" xfId="6" applyNumberFormat="1" applyFont="1" applyFill="1" applyBorder="1" applyAlignment="1" applyProtection="1">
      <alignment horizontal="center" vertical="center"/>
      <protection locked="0" hidden="1"/>
    </xf>
    <xf numFmtId="10" fontId="2" fillId="10" borderId="3" xfId="6" applyNumberFormat="1" applyFont="1" applyFill="1" applyBorder="1" applyAlignment="1" applyProtection="1">
      <alignment horizontal="center"/>
      <protection hidden="1"/>
    </xf>
    <xf numFmtId="2" fontId="2" fillId="10" borderId="3" xfId="6" applyNumberFormat="1" applyFont="1" applyFill="1" applyBorder="1" applyAlignment="1" applyProtection="1">
      <alignment horizontal="center"/>
      <protection hidden="1"/>
    </xf>
    <xf numFmtId="10" fontId="2" fillId="10" borderId="3" xfId="8" applyNumberFormat="1" applyFont="1" applyFill="1" applyBorder="1" applyAlignment="1" applyProtection="1">
      <alignment horizontal="center"/>
      <protection hidden="1"/>
    </xf>
    <xf numFmtId="10" fontId="2" fillId="10" borderId="3" xfId="6" applyNumberFormat="1" applyFont="1" applyFill="1" applyBorder="1" applyAlignment="1" applyProtection="1">
      <alignment horizontal="center" vertical="center"/>
      <protection hidden="1"/>
    </xf>
    <xf numFmtId="10" fontId="2" fillId="10" borderId="0" xfId="6" applyNumberFormat="1" applyFont="1" applyFill="1" applyBorder="1" applyAlignment="1" applyProtection="1">
      <alignment horizontal="center" vertical="center"/>
      <protection hidden="1"/>
    </xf>
    <xf numFmtId="2" fontId="2" fillId="9" borderId="0" xfId="6" applyNumberFormat="1" applyFont="1" applyFill="1" applyAlignment="1" applyProtection="1">
      <alignment horizontal="center"/>
      <protection hidden="1"/>
    </xf>
    <xf numFmtId="0" fontId="3" fillId="9" borderId="5"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9" borderId="10" xfId="0" applyFont="1" applyFill="1" applyBorder="1" applyAlignment="1">
      <alignment horizontal="left" vertical="top" wrapText="1"/>
    </xf>
    <xf numFmtId="0" fontId="5" fillId="9" borderId="5" xfId="0" applyFont="1" applyFill="1" applyBorder="1" applyAlignment="1">
      <alignment horizontal="left" vertical="top" wrapText="1"/>
    </xf>
    <xf numFmtId="0" fontId="5" fillId="9" borderId="9" xfId="0" applyFont="1" applyFill="1" applyBorder="1" applyAlignment="1">
      <alignment horizontal="left" vertical="top" wrapText="1"/>
    </xf>
    <xf numFmtId="0" fontId="5" fillId="9" borderId="10" xfId="0" applyFont="1" applyFill="1" applyBorder="1" applyAlignment="1">
      <alignment horizontal="left" vertical="top" wrapText="1"/>
    </xf>
    <xf numFmtId="9" fontId="19" fillId="13" borderId="5" xfId="6" applyFont="1" applyFill="1" applyBorder="1" applyAlignment="1">
      <alignment horizontal="center"/>
    </xf>
    <xf numFmtId="9" fontId="19" fillId="13" borderId="10" xfId="6" applyFont="1" applyFill="1" applyBorder="1" applyAlignment="1">
      <alignment horizontal="center"/>
    </xf>
    <xf numFmtId="0" fontId="19" fillId="13" borderId="5" xfId="0" applyFont="1" applyFill="1" applyBorder="1" applyAlignment="1">
      <alignment horizontal="center" wrapText="1"/>
    </xf>
    <xf numFmtId="0" fontId="19" fillId="13" borderId="10" xfId="0" applyFont="1" applyFill="1" applyBorder="1" applyAlignment="1">
      <alignment horizontal="center" wrapText="1"/>
    </xf>
    <xf numFmtId="0" fontId="31" fillId="9" borderId="5" xfId="0" applyFont="1" applyFill="1" applyBorder="1" applyAlignment="1" applyProtection="1">
      <alignment horizontal="center" wrapText="1"/>
      <protection locked="0"/>
    </xf>
    <xf numFmtId="0" fontId="31" fillId="9" borderId="10" xfId="0" applyFont="1" applyFill="1" applyBorder="1" applyAlignment="1" applyProtection="1">
      <alignment horizontal="center" wrapText="1"/>
      <protection locked="0"/>
    </xf>
    <xf numFmtId="0" fontId="31" fillId="9" borderId="5" xfId="0" applyFont="1" applyFill="1" applyBorder="1" applyAlignment="1" applyProtection="1">
      <alignment horizontal="center" vertical="center" wrapText="1"/>
      <protection locked="0"/>
    </xf>
    <xf numFmtId="0" fontId="31" fillId="9" borderId="10" xfId="0" applyFont="1" applyFill="1" applyBorder="1" applyAlignment="1" applyProtection="1">
      <alignment horizontal="center" vertical="center" wrapText="1"/>
      <protection locked="0"/>
    </xf>
    <xf numFmtId="0" fontId="31" fillId="9" borderId="0" xfId="0" applyFont="1" applyFill="1" applyAlignment="1" applyProtection="1">
      <alignment horizontal="left" vertical="top" wrapText="1"/>
      <protection hidden="1"/>
    </xf>
    <xf numFmtId="0" fontId="31" fillId="4" borderId="0" xfId="0" applyFont="1" applyFill="1" applyAlignment="1" applyProtection="1">
      <alignment horizontal="left" vertical="top" wrapText="1"/>
      <protection hidden="1"/>
    </xf>
    <xf numFmtId="0" fontId="31" fillId="10" borderId="3" xfId="0" applyFont="1" applyFill="1" applyBorder="1" applyAlignment="1" applyProtection="1">
      <alignment horizontal="left" vertical="center" wrapText="1"/>
      <protection hidden="1"/>
    </xf>
    <xf numFmtId="0" fontId="31" fillId="4" borderId="12" xfId="0" applyFont="1" applyFill="1" applyBorder="1" applyAlignment="1" applyProtection="1">
      <alignment horizontal="left" vertical="center" wrapText="1"/>
      <protection hidden="1"/>
    </xf>
    <xf numFmtId="0" fontId="31" fillId="4" borderId="0" xfId="0" applyFont="1" applyFill="1" applyAlignment="1" applyProtection="1">
      <alignment horizontal="left" vertical="center" wrapText="1"/>
      <protection hidden="1"/>
    </xf>
    <xf numFmtId="0" fontId="31" fillId="9"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31" fillId="10" borderId="11" xfId="0" applyFont="1" applyFill="1" applyBorder="1" applyAlignment="1" applyProtection="1">
      <alignment horizontal="left" vertical="center" wrapText="1"/>
      <protection hidden="1"/>
    </xf>
    <xf numFmtId="0" fontId="31" fillId="10" borderId="7" xfId="0" applyFont="1" applyFill="1" applyBorder="1" applyProtection="1">
      <protection hidden="1"/>
    </xf>
    <xf numFmtId="0" fontId="31" fillId="10" borderId="7" xfId="0" applyFont="1" applyFill="1" applyBorder="1" applyAlignment="1" applyProtection="1">
      <alignment horizontal="left" vertical="center" wrapText="1"/>
      <protection hidden="1"/>
    </xf>
    <xf numFmtId="0" fontId="31" fillId="10" borderId="7" xfId="0" applyFont="1" applyFill="1" applyBorder="1" applyAlignment="1" applyProtection="1">
      <alignment wrapText="1"/>
      <protection hidden="1"/>
    </xf>
    <xf numFmtId="0" fontId="31" fillId="10" borderId="8" xfId="0" applyFont="1" applyFill="1" applyBorder="1" applyAlignment="1" applyProtection="1">
      <alignment horizontal="left" vertical="center" wrapText="1"/>
      <protection hidden="1"/>
    </xf>
    <xf numFmtId="0" fontId="31" fillId="10" borderId="16" xfId="0" applyFont="1" applyFill="1" applyBorder="1" applyAlignment="1" applyProtection="1">
      <alignment horizontal="left" vertical="center" wrapText="1"/>
      <protection hidden="1"/>
    </xf>
    <xf numFmtId="0" fontId="31" fillId="9" borderId="0" xfId="0" applyFont="1" applyFill="1" applyAlignment="1" applyProtection="1">
      <alignment vertical="top" wrapText="1"/>
      <protection hidden="1"/>
    </xf>
    <xf numFmtId="0" fontId="3" fillId="0" borderId="0" xfId="0" applyFont="1" applyAlignment="1" applyProtection="1">
      <alignment vertical="top" wrapText="1"/>
      <protection hidden="1"/>
    </xf>
    <xf numFmtId="0" fontId="31" fillId="9" borderId="3" xfId="0" applyFont="1" applyFill="1" applyBorder="1" applyAlignment="1" applyProtection="1">
      <alignment horizontal="center" vertical="center"/>
      <protection locked="0"/>
    </xf>
    <xf numFmtId="0" fontId="31" fillId="9" borderId="12" xfId="0" applyFont="1" applyFill="1" applyBorder="1" applyAlignment="1" applyProtection="1">
      <alignment horizontal="left" vertical="top" wrapText="1"/>
      <protection hidden="1"/>
    </xf>
    <xf numFmtId="0" fontId="31" fillId="10" borderId="5" xfId="0" applyFont="1" applyFill="1" applyBorder="1" applyAlignment="1" applyProtection="1">
      <alignment horizontal="right" vertical="center"/>
      <protection hidden="1"/>
    </xf>
    <xf numFmtId="0" fontId="31" fillId="10" borderId="9" xfId="0" applyFont="1" applyFill="1" applyBorder="1" applyAlignment="1" applyProtection="1">
      <alignment horizontal="right" vertical="center"/>
      <protection hidden="1"/>
    </xf>
    <xf numFmtId="0" fontId="31" fillId="10" borderId="10" xfId="0" applyFont="1" applyFill="1" applyBorder="1" applyAlignment="1" applyProtection="1">
      <alignment horizontal="right" vertical="center"/>
      <protection hidden="1"/>
    </xf>
    <xf numFmtId="0" fontId="31" fillId="10" borderId="3" xfId="0" applyFont="1" applyFill="1" applyBorder="1" applyAlignment="1" applyProtection="1">
      <alignment horizontal="left" vertical="top" wrapText="1"/>
      <protection hidden="1"/>
    </xf>
    <xf numFmtId="0" fontId="3" fillId="0" borderId="0" xfId="0" applyFont="1" applyProtection="1">
      <protection hidden="1"/>
    </xf>
    <xf numFmtId="0" fontId="31" fillId="4" borderId="12" xfId="0" applyFont="1" applyFill="1" applyBorder="1" applyAlignment="1" applyProtection="1">
      <alignment horizontal="left" vertical="top" wrapText="1"/>
      <protection hidden="1"/>
    </xf>
    <xf numFmtId="0" fontId="42" fillId="19" borderId="5" xfId="0" applyFont="1" applyFill="1" applyBorder="1" applyAlignment="1" applyProtection="1">
      <alignment horizontal="left" wrapText="1"/>
      <protection hidden="1"/>
    </xf>
    <xf numFmtId="0" fontId="42" fillId="19" borderId="9" xfId="0" applyFont="1" applyFill="1" applyBorder="1" applyAlignment="1" applyProtection="1">
      <alignment horizontal="left" wrapText="1"/>
      <protection hidden="1"/>
    </xf>
    <xf numFmtId="0" fontId="42" fillId="19" borderId="10" xfId="0" applyFont="1" applyFill="1" applyBorder="1" applyAlignment="1" applyProtection="1">
      <alignment horizontal="left" wrapText="1"/>
      <protection hidden="1"/>
    </xf>
    <xf numFmtId="0" fontId="31" fillId="10" borderId="5" xfId="0" applyFont="1" applyFill="1" applyBorder="1" applyAlignment="1" applyProtection="1">
      <alignment horizontal="left" vertical="center" wrapText="1"/>
      <protection hidden="1"/>
    </xf>
    <xf numFmtId="0" fontId="31" fillId="10" borderId="9" xfId="0" applyFont="1" applyFill="1" applyBorder="1" applyAlignment="1" applyProtection="1">
      <alignment horizontal="left" vertical="center" wrapText="1"/>
      <protection hidden="1"/>
    </xf>
    <xf numFmtId="0" fontId="31" fillId="10" borderId="10" xfId="0" applyFont="1" applyFill="1" applyBorder="1" applyAlignment="1" applyProtection="1">
      <alignment horizontal="left" vertical="center" wrapText="1"/>
      <protection hidden="1"/>
    </xf>
    <xf numFmtId="0" fontId="3" fillId="9" borderId="0" xfId="0" applyFont="1" applyFill="1" applyAlignment="1" applyProtection="1">
      <alignment vertical="top" wrapText="1"/>
      <protection hidden="1"/>
    </xf>
    <xf numFmtId="0" fontId="31" fillId="10" borderId="5" xfId="0" applyFont="1" applyFill="1" applyBorder="1" applyAlignment="1" applyProtection="1">
      <alignment horizontal="left" vertical="top" wrapText="1"/>
      <protection hidden="1"/>
    </xf>
    <xf numFmtId="0" fontId="31" fillId="10" borderId="9" xfId="0" applyFont="1" applyFill="1" applyBorder="1" applyAlignment="1" applyProtection="1">
      <alignment horizontal="left" vertical="top" wrapText="1"/>
      <protection hidden="1"/>
    </xf>
    <xf numFmtId="0" fontId="31" fillId="10" borderId="10" xfId="0" applyFont="1" applyFill="1" applyBorder="1" applyAlignment="1" applyProtection="1">
      <alignment horizontal="left" vertical="top" wrapText="1"/>
      <protection hidden="1"/>
    </xf>
    <xf numFmtId="0" fontId="31" fillId="9" borderId="5" xfId="0" applyFont="1" applyFill="1" applyBorder="1" applyAlignment="1" applyProtection="1">
      <alignment horizontal="center" vertical="center"/>
      <protection locked="0"/>
    </xf>
    <xf numFmtId="0" fontId="31" fillId="9" borderId="9" xfId="0" applyFont="1" applyFill="1" applyBorder="1" applyAlignment="1" applyProtection="1">
      <alignment horizontal="center" vertical="center"/>
      <protection locked="0"/>
    </xf>
    <xf numFmtId="0" fontId="31" fillId="9" borderId="10" xfId="0" applyFont="1" applyFill="1" applyBorder="1" applyAlignment="1" applyProtection="1">
      <alignment horizontal="center" vertical="center"/>
      <protection locked="0"/>
    </xf>
    <xf numFmtId="0" fontId="31" fillId="9" borderId="12" xfId="0" applyFont="1" applyFill="1" applyBorder="1" applyAlignment="1" applyProtection="1">
      <alignment vertical="center" wrapText="1"/>
      <protection hidden="1"/>
    </xf>
    <xf numFmtId="0" fontId="3" fillId="0" borderId="0" xfId="0" applyFont="1" applyAlignment="1" applyProtection="1">
      <alignment vertical="center"/>
      <protection hidden="1"/>
    </xf>
    <xf numFmtId="0" fontId="31" fillId="0" borderId="0" xfId="0" applyFont="1" applyAlignment="1" applyProtection="1">
      <alignment horizontal="left" vertical="top" wrapText="1"/>
      <protection hidden="1"/>
    </xf>
    <xf numFmtId="0" fontId="27" fillId="19" borderId="5" xfId="0" applyFont="1" applyFill="1" applyBorder="1" applyAlignment="1" applyProtection="1">
      <alignment horizontal="right" vertical="center" wrapText="1"/>
      <protection hidden="1"/>
    </xf>
    <xf numFmtId="0" fontId="27" fillId="19" borderId="10" xfId="0" applyFont="1" applyFill="1" applyBorder="1" applyAlignment="1" applyProtection="1">
      <alignment horizontal="right" vertical="center" wrapText="1"/>
      <protection hidden="1"/>
    </xf>
    <xf numFmtId="0" fontId="27" fillId="19" borderId="3" xfId="0" applyFont="1" applyFill="1" applyBorder="1" applyAlignment="1" applyProtection="1">
      <alignment horizontal="right" wrapText="1"/>
      <protection hidden="1"/>
    </xf>
    <xf numFmtId="0" fontId="27" fillId="19" borderId="3" xfId="0" applyFont="1" applyFill="1" applyBorder="1" applyAlignment="1" applyProtection="1">
      <alignment horizontal="right" vertical="center" wrapText="1"/>
      <protection hidden="1"/>
    </xf>
    <xf numFmtId="0" fontId="27" fillId="19" borderId="5" xfId="0" applyFont="1" applyFill="1" applyBorder="1" applyAlignment="1" applyProtection="1">
      <alignment horizontal="left" vertical="center" wrapText="1"/>
      <protection hidden="1"/>
    </xf>
    <xf numFmtId="0" fontId="27" fillId="19" borderId="9" xfId="0" applyFont="1" applyFill="1" applyBorder="1" applyAlignment="1" applyProtection="1">
      <alignment horizontal="left" vertical="center" wrapText="1"/>
      <protection hidden="1"/>
    </xf>
    <xf numFmtId="0" fontId="27" fillId="19" borderId="10" xfId="0" applyFont="1" applyFill="1" applyBorder="1" applyAlignment="1" applyProtection="1">
      <alignment horizontal="left" vertical="center" wrapText="1"/>
      <protection hidden="1"/>
    </xf>
    <xf numFmtId="0" fontId="26" fillId="10" borderId="5" xfId="2" applyFill="1" applyBorder="1" applyAlignment="1" applyProtection="1">
      <alignment horizontal="center" vertical="center" wrapText="1"/>
      <protection hidden="1"/>
    </xf>
    <xf numFmtId="0" fontId="26" fillId="10" borderId="10" xfId="2" applyFill="1" applyBorder="1" applyAlignment="1" applyProtection="1">
      <alignment horizontal="center" vertical="center" wrapText="1"/>
      <protection hidden="1"/>
    </xf>
    <xf numFmtId="0" fontId="27" fillId="19" borderId="3" xfId="0" applyFont="1" applyFill="1" applyBorder="1" applyAlignment="1" applyProtection="1">
      <alignment horizontal="right"/>
      <protection hidden="1"/>
    </xf>
    <xf numFmtId="0" fontId="40" fillId="16" borderId="5" xfId="0" applyFont="1" applyFill="1" applyBorder="1" applyAlignment="1" applyProtection="1">
      <alignment horizontal="left" wrapText="1"/>
      <protection locked="0" hidden="1"/>
    </xf>
    <xf numFmtId="0" fontId="40" fillId="16" borderId="9" xfId="0" applyFont="1" applyFill="1" applyBorder="1" applyAlignment="1" applyProtection="1">
      <alignment horizontal="left" wrapText="1"/>
      <protection locked="0" hidden="1"/>
    </xf>
    <xf numFmtId="0" fontId="40" fillId="16" borderId="10" xfId="0" applyFont="1" applyFill="1" applyBorder="1" applyAlignment="1" applyProtection="1">
      <alignment horizontal="left" wrapText="1"/>
      <protection locked="0" hidden="1"/>
    </xf>
    <xf numFmtId="0" fontId="26" fillId="9" borderId="5" xfId="2" applyFill="1" applyBorder="1" applyAlignment="1" applyProtection="1">
      <alignment horizontal="left" vertical="center"/>
      <protection locked="0" hidden="1"/>
    </xf>
    <xf numFmtId="0" fontId="26" fillId="9" borderId="9" xfId="2" applyFill="1" applyBorder="1" applyAlignment="1" applyProtection="1">
      <alignment horizontal="left" vertical="center"/>
      <protection locked="0" hidden="1"/>
    </xf>
    <xf numFmtId="0" fontId="26" fillId="9" borderId="10" xfId="2" applyFill="1" applyBorder="1" applyAlignment="1" applyProtection="1">
      <alignment horizontal="left" vertical="center"/>
      <protection locked="0" hidden="1"/>
    </xf>
    <xf numFmtId="0" fontId="26" fillId="9" borderId="5" xfId="2" applyFill="1" applyBorder="1" applyAlignment="1" applyProtection="1">
      <alignment horizontal="center" vertical="center"/>
      <protection locked="0" hidden="1"/>
    </xf>
    <xf numFmtId="0" fontId="26" fillId="9" borderId="10" xfId="2" applyFill="1" applyBorder="1" applyAlignment="1" applyProtection="1">
      <alignment horizontal="center" vertical="center"/>
      <protection locked="0" hidden="1"/>
    </xf>
    <xf numFmtId="0" fontId="26" fillId="9" borderId="13" xfId="2" applyFill="1" applyBorder="1" applyAlignment="1" applyProtection="1">
      <alignment horizontal="center" vertical="center"/>
      <protection locked="0" hidden="1"/>
    </xf>
    <xf numFmtId="0" fontId="26" fillId="9" borderId="14" xfId="2" applyFill="1" applyBorder="1" applyAlignment="1" applyProtection="1">
      <alignment horizontal="center" vertical="center"/>
      <protection locked="0" hidden="1"/>
    </xf>
    <xf numFmtId="0" fontId="47" fillId="0" borderId="5" xfId="2" applyFont="1" applyBorder="1" applyAlignment="1" applyProtection="1">
      <alignment horizontal="center" vertical="center"/>
      <protection locked="0" hidden="1"/>
    </xf>
    <xf numFmtId="0" fontId="47" fillId="0" borderId="9" xfId="2" applyFont="1" applyBorder="1" applyAlignment="1" applyProtection="1">
      <alignment horizontal="center" vertical="center"/>
      <protection locked="0" hidden="1"/>
    </xf>
    <xf numFmtId="0" fontId="47" fillId="0" borderId="10" xfId="2" applyFont="1" applyBorder="1" applyAlignment="1" applyProtection="1">
      <alignment horizontal="center" vertical="center"/>
      <protection locked="0" hidden="1"/>
    </xf>
    <xf numFmtId="0" fontId="27" fillId="19" borderId="13" xfId="0" applyFont="1" applyFill="1" applyBorder="1" applyAlignment="1" applyProtection="1">
      <alignment horizontal="right" vertical="center" wrapText="1"/>
      <protection hidden="1"/>
    </xf>
    <xf numFmtId="0" fontId="27" fillId="19" borderId="14" xfId="0" applyFont="1" applyFill="1" applyBorder="1" applyAlignment="1" applyProtection="1">
      <alignment horizontal="right" vertical="center" wrapText="1"/>
      <protection hidden="1"/>
    </xf>
    <xf numFmtId="0" fontId="58" fillId="19" borderId="11" xfId="0" applyFont="1" applyFill="1" applyBorder="1" applyAlignment="1" applyProtection="1">
      <alignment horizontal="center" vertical="center"/>
      <protection hidden="1"/>
    </xf>
    <xf numFmtId="0" fontId="58" fillId="19" borderId="6" xfId="0" applyFont="1" applyFill="1" applyBorder="1" applyAlignment="1" applyProtection="1">
      <alignment horizontal="center" vertical="center"/>
      <protection hidden="1"/>
    </xf>
    <xf numFmtId="0" fontId="58" fillId="19" borderId="7" xfId="0" applyFont="1" applyFill="1" applyBorder="1" applyAlignment="1" applyProtection="1">
      <alignment horizontal="center" vertical="center"/>
      <protection hidden="1"/>
    </xf>
    <xf numFmtId="0" fontId="27" fillId="9" borderId="0" xfId="2" applyFont="1" applyFill="1" applyAlignment="1" applyProtection="1">
      <alignment horizontal="left" vertical="center"/>
      <protection locked="0" hidden="1"/>
    </xf>
    <xf numFmtId="0" fontId="51" fillId="9" borderId="0" xfId="2" applyFont="1" applyFill="1" applyAlignment="1" applyProtection="1">
      <alignment horizontal="left" vertical="top" wrapText="1"/>
      <protection hidden="1"/>
    </xf>
    <xf numFmtId="0" fontId="47" fillId="9" borderId="5" xfId="2" applyFont="1" applyFill="1" applyBorder="1" applyAlignment="1" applyProtection="1">
      <alignment horizontal="center" vertical="center"/>
      <protection locked="0" hidden="1"/>
    </xf>
    <xf numFmtId="0" fontId="47" fillId="9" borderId="9" xfId="2" applyFont="1" applyFill="1" applyBorder="1" applyAlignment="1" applyProtection="1">
      <alignment horizontal="center" vertical="center"/>
      <protection locked="0" hidden="1"/>
    </xf>
    <xf numFmtId="0" fontId="47" fillId="9" borderId="10" xfId="2" applyFont="1" applyFill="1" applyBorder="1" applyAlignment="1" applyProtection="1">
      <alignment horizontal="center" vertical="center"/>
      <protection locked="0" hidden="1"/>
    </xf>
    <xf numFmtId="0" fontId="31" fillId="9" borderId="5" xfId="0" applyFont="1" applyFill="1" applyBorder="1" applyAlignment="1" applyProtection="1">
      <alignment horizontal="left" vertical="center"/>
      <protection hidden="1"/>
    </xf>
    <xf numFmtId="0" fontId="31" fillId="9" borderId="9" xfId="0" applyFont="1" applyFill="1" applyBorder="1" applyAlignment="1" applyProtection="1">
      <alignment horizontal="left" vertical="center"/>
      <protection hidden="1"/>
    </xf>
    <xf numFmtId="0" fontId="31" fillId="9" borderId="10" xfId="0" applyFont="1" applyFill="1" applyBorder="1" applyAlignment="1" applyProtection="1">
      <alignment horizontal="left" vertical="center"/>
      <protection hidden="1"/>
    </xf>
    <xf numFmtId="0" fontId="31" fillId="9" borderId="5" xfId="0" applyFont="1" applyFill="1" applyBorder="1" applyAlignment="1" applyProtection="1">
      <alignment horizontal="left" vertical="center" wrapText="1"/>
      <protection locked="0"/>
    </xf>
    <xf numFmtId="0" fontId="31" fillId="9" borderId="10" xfId="0" applyFont="1" applyFill="1" applyBorder="1" applyAlignment="1" applyProtection="1">
      <alignment horizontal="left" vertical="center" wrapText="1"/>
      <protection locked="0"/>
    </xf>
    <xf numFmtId="0" fontId="42" fillId="19" borderId="5" xfId="0" applyFont="1" applyFill="1" applyBorder="1" applyAlignment="1" applyProtection="1">
      <alignment horizontal="right" vertical="center"/>
      <protection hidden="1"/>
    </xf>
    <xf numFmtId="0" fontId="42" fillId="19" borderId="10" xfId="0" applyFont="1" applyFill="1" applyBorder="1" applyAlignment="1" applyProtection="1">
      <alignment horizontal="right" vertical="center"/>
      <protection hidden="1"/>
    </xf>
    <xf numFmtId="0" fontId="47" fillId="9" borderId="3" xfId="3" applyFont="1" applyFill="1" applyBorder="1" applyAlignment="1">
      <alignment horizontal="left" vertical="top" wrapText="1"/>
    </xf>
    <xf numFmtId="0" fontId="47" fillId="9" borderId="5" xfId="3" applyFont="1" applyFill="1" applyBorder="1" applyAlignment="1">
      <alignment horizontal="left" vertical="center" wrapText="1"/>
    </xf>
    <xf numFmtId="0" fontId="47" fillId="9" borderId="9" xfId="3" applyFont="1" applyFill="1" applyBorder="1" applyAlignment="1">
      <alignment horizontal="left" vertical="center" wrapText="1"/>
    </xf>
    <xf numFmtId="0" fontId="47" fillId="9" borderId="10" xfId="3" applyFont="1" applyFill="1" applyBorder="1" applyAlignment="1">
      <alignment horizontal="left" vertical="center" wrapText="1"/>
    </xf>
    <xf numFmtId="0" fontId="47" fillId="9" borderId="13" xfId="3" applyFont="1" applyFill="1" applyBorder="1" applyAlignment="1">
      <alignment horizontal="left" vertical="top" wrapText="1"/>
    </xf>
    <xf numFmtId="0" fontId="47" fillId="9" borderId="15" xfId="3" applyFont="1" applyFill="1" applyBorder="1" applyAlignment="1">
      <alignment horizontal="left" vertical="top" wrapText="1"/>
    </xf>
    <xf numFmtId="0" fontId="47" fillId="9" borderId="14" xfId="3" applyFont="1" applyFill="1" applyBorder="1" applyAlignment="1">
      <alignment horizontal="left" vertical="top" wrapText="1"/>
    </xf>
    <xf numFmtId="0" fontId="47" fillId="9" borderId="12" xfId="3" applyFont="1" applyFill="1" applyBorder="1" applyAlignment="1">
      <alignment horizontal="left" vertical="top" wrapText="1"/>
    </xf>
    <xf numFmtId="0" fontId="47" fillId="9" borderId="0" xfId="3" applyFont="1" applyFill="1" applyAlignment="1">
      <alignment horizontal="left" vertical="top" wrapText="1"/>
    </xf>
    <xf numFmtId="0" fontId="47" fillId="9" borderId="17" xfId="3" applyFont="1" applyFill="1" applyBorder="1" applyAlignment="1">
      <alignment horizontal="left" vertical="top" wrapText="1"/>
    </xf>
    <xf numFmtId="0" fontId="47" fillId="9" borderId="8" xfId="3" applyFont="1" applyFill="1" applyBorder="1" applyAlignment="1">
      <alignment horizontal="left" vertical="top" wrapText="1"/>
    </xf>
    <xf numFmtId="0" fontId="47" fillId="9" borderId="16" xfId="3" applyFont="1" applyFill="1" applyBorder="1" applyAlignment="1">
      <alignment horizontal="left" vertical="top" wrapText="1"/>
    </xf>
    <xf numFmtId="0" fontId="47" fillId="9" borderId="18" xfId="3" applyFont="1" applyFill="1" applyBorder="1" applyAlignment="1">
      <alignment horizontal="left" vertical="top" wrapText="1"/>
    </xf>
    <xf numFmtId="0" fontId="47" fillId="9" borderId="5" xfId="3" applyFont="1" applyFill="1" applyBorder="1" applyAlignment="1">
      <alignment horizontal="left" vertical="top" wrapText="1"/>
    </xf>
    <xf numFmtId="0" fontId="47" fillId="9" borderId="9" xfId="3" applyFont="1" applyFill="1" applyBorder="1" applyAlignment="1">
      <alignment horizontal="left" vertical="top" wrapText="1"/>
    </xf>
    <xf numFmtId="0" fontId="47" fillId="9" borderId="10" xfId="3" applyFont="1" applyFill="1" applyBorder="1" applyAlignment="1">
      <alignment horizontal="left" vertical="top" wrapText="1"/>
    </xf>
    <xf numFmtId="0" fontId="47" fillId="9" borderId="3" xfId="3" applyFont="1" applyFill="1" applyBorder="1" applyAlignment="1">
      <alignment horizontal="left" vertical="center" wrapText="1"/>
    </xf>
  </cellXfs>
  <cellStyles count="10">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_Sheet1" xfId="5" xr:uid="{00000000-0005-0000-0000-000005000000}"/>
    <cellStyle name="Percent" xfId="6" builtinId="5"/>
    <cellStyle name="Percent 2" xfId="7" xr:uid="{00000000-0005-0000-0000-000007000000}"/>
    <cellStyle name="Percent 3" xfId="8" xr:uid="{00000000-0005-0000-0000-000008000000}"/>
    <cellStyle name="Percent 4" xfId="9" xr:uid="{00000000-0005-0000-0000-000009000000}"/>
  </cellStyles>
  <dxfs count="505">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font>
      <fill>
        <patternFill>
          <bgColor theme="0"/>
        </patternFill>
      </fill>
      <border>
        <left style="thin">
          <color indexed="64"/>
        </left>
        <right style="thin">
          <color indexed="64"/>
        </right>
        <top style="thin">
          <color indexed="64"/>
        </top>
        <bottom style="thin">
          <color indexed="64"/>
        </bottom>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rgb="FF3D6864"/>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font>
      <fill>
        <patternFill>
          <bgColor theme="0"/>
        </patternFill>
      </fill>
      <border>
        <left style="thin">
          <color indexed="64"/>
        </left>
        <right style="thin">
          <color indexed="64"/>
        </right>
        <top style="thin">
          <color indexed="64"/>
        </top>
        <bottom style="thin">
          <color indexed="64"/>
        </bottom>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1"/>
      </font>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b/>
        <i val="0"/>
        <color theme="0"/>
      </font>
      <fill>
        <patternFill>
          <bgColor rgb="FFFF0000"/>
        </patternFill>
      </fill>
    </dxf>
    <dxf>
      <font>
        <color auto="1"/>
      </font>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theme="0"/>
      </font>
      <fill>
        <patternFill>
          <bgColor rgb="FFFF0000"/>
        </patternFill>
      </fill>
    </dxf>
    <dxf>
      <font>
        <color theme="1"/>
      </font>
      <fill>
        <patternFill>
          <bgColor theme="0"/>
        </patternFill>
      </fill>
    </dxf>
    <dxf>
      <font>
        <color theme="0" tint="-0.499984740745262"/>
      </font>
      <fill>
        <patternFill>
          <bgColor theme="0" tint="-0.499984740745262"/>
        </patternFill>
      </fill>
    </dxf>
    <dxf>
      <font>
        <b/>
        <i val="0"/>
        <color theme="0"/>
      </font>
      <fill>
        <patternFill>
          <bgColor rgb="FFFF0000"/>
        </patternFill>
      </fill>
    </dxf>
    <dxf>
      <font>
        <color theme="0" tint="-0.499984740745262"/>
      </font>
      <fill>
        <patternFill>
          <bgColor theme="0" tint="-0.499984740745262"/>
        </patternFill>
      </fill>
    </dxf>
    <dxf>
      <font>
        <color auto="1"/>
      </font>
      <fill>
        <patternFill>
          <bgColor theme="0"/>
        </patternFill>
      </fill>
    </dxf>
    <dxf>
      <font>
        <b/>
        <i val="0"/>
        <color theme="0"/>
      </font>
      <fill>
        <patternFill>
          <bgColor rgb="FFFF0000"/>
        </patternFill>
      </fill>
    </dxf>
    <dxf>
      <font>
        <color theme="1"/>
      </font>
      <fill>
        <patternFill>
          <bgColor theme="0"/>
        </patternFill>
      </fill>
    </dxf>
    <dxf>
      <font>
        <color theme="0" tint="-0.499984740745262"/>
      </font>
      <fill>
        <patternFill>
          <bgColor theme="0" tint="-0.499984740745262"/>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b/>
        <i val="0"/>
        <color theme="0"/>
      </font>
      <fill>
        <patternFill>
          <bgColor rgb="FFFF0000"/>
        </patternFill>
      </fill>
    </dxf>
    <dxf>
      <font>
        <color auto="1"/>
        <name val="Cambria"/>
        <scheme val="none"/>
      </font>
      <fill>
        <patternFill>
          <bgColor theme="0"/>
        </patternFill>
      </fill>
    </dxf>
    <dxf>
      <font>
        <b/>
        <i val="0"/>
        <color theme="0"/>
      </font>
      <fill>
        <patternFill>
          <bgColor rgb="FFFF0000"/>
        </patternFill>
      </fill>
    </dxf>
    <dxf>
      <font>
        <color theme="0" tint="-0.499984740745262"/>
      </font>
      <fill>
        <patternFill>
          <bgColor theme="0" tint="-0.499984740745262"/>
        </patternFill>
      </fill>
    </dxf>
    <dxf>
      <font>
        <b/>
        <i val="0"/>
        <color theme="0"/>
      </font>
      <fill>
        <patternFill>
          <bgColor rgb="FFFF0000"/>
        </patternFill>
      </fill>
    </dxf>
    <dxf>
      <font>
        <b val="0"/>
        <i val="0"/>
        <strike val="0"/>
        <color auto="1"/>
        <name val="Cambria"/>
        <scheme val="none"/>
      </font>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1" tint="0.499984740745262"/>
      </font>
      <fill>
        <patternFill>
          <bgColor theme="1"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b/>
        <i val="0"/>
        <color theme="0"/>
      </font>
      <fill>
        <patternFill>
          <bgColor rgb="FFFF0000"/>
        </patternFill>
      </fill>
      <border>
        <left style="thin">
          <color indexed="64"/>
        </left>
        <right style="thin">
          <color indexed="64"/>
        </right>
        <top style="thin">
          <color indexed="64"/>
        </top>
        <bottom style="thin">
          <color indexed="64"/>
        </bottom>
      </border>
    </dxf>
    <dxf>
      <font>
        <color auto="1"/>
      </font>
      <fill>
        <patternFill>
          <bgColor theme="0"/>
        </patternFill>
      </fill>
      <border>
        <left style="thin">
          <color indexed="64"/>
        </left>
        <right style="thin">
          <color indexed="64"/>
        </right>
        <top style="thin">
          <color indexed="64"/>
        </top>
        <bottom style="thin">
          <color indexed="64"/>
        </bottom>
      </border>
    </dxf>
    <dxf>
      <font>
        <b/>
        <i val="0"/>
        <color theme="0"/>
      </font>
      <fill>
        <patternFill>
          <bgColor rgb="FFFF0000"/>
        </patternFill>
      </fill>
    </dxf>
    <dxf>
      <font>
        <color auto="1"/>
        <name val="Cambria"/>
        <scheme val="none"/>
      </font>
      <fill>
        <patternFill>
          <bgColor theme="0"/>
        </patternFill>
      </fill>
    </dxf>
    <dxf>
      <font>
        <color auto="1"/>
        <name val="Cambria"/>
        <scheme val="none"/>
      </font>
      <fill>
        <patternFill>
          <bgColor theme="0"/>
        </patternFill>
      </fill>
    </dxf>
    <dxf>
      <font>
        <b/>
        <i val="0"/>
        <color theme="0"/>
      </font>
      <fill>
        <patternFill>
          <bgColor rgb="FFFF0000"/>
        </patternFill>
      </fill>
    </dxf>
    <dxf>
      <font>
        <color auto="1"/>
      </font>
      <fill>
        <patternFill>
          <bgColor theme="0"/>
        </patternFill>
      </fill>
    </dxf>
    <dxf>
      <font>
        <b/>
        <i val="0"/>
        <color theme="0"/>
      </font>
      <fill>
        <patternFill>
          <bgColor rgb="FFFF0000"/>
        </patternFill>
      </fill>
    </dxf>
    <dxf>
      <font>
        <b/>
        <i val="0"/>
        <color theme="0"/>
      </font>
      <fill>
        <patternFill>
          <bgColor rgb="FFFF0000"/>
        </patternFill>
      </fill>
    </dxf>
    <dxf>
      <fill>
        <patternFill>
          <bgColor theme="0"/>
        </patternFill>
      </fill>
    </dxf>
    <dxf>
      <font>
        <color auto="1"/>
        <name val="Cambria"/>
        <scheme val="none"/>
      </font>
      <fill>
        <patternFill>
          <bgColor theme="0"/>
        </patternFill>
      </fill>
    </dxf>
    <dxf>
      <font>
        <b/>
        <i val="0"/>
        <color theme="0"/>
      </font>
      <fill>
        <patternFill>
          <bgColor rgb="FFFF0000"/>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auto="1"/>
      </font>
      <fill>
        <patternFill>
          <bgColor theme="0" tint="-0.14996795556505021"/>
        </patternFill>
      </fill>
      <border>
        <right style="thin">
          <color indexed="64"/>
        </right>
        <top style="thin">
          <color indexed="64"/>
        </top>
        <bottom style="thin">
          <color indexed="64"/>
        </bottom>
      </border>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auto="1"/>
      </font>
      <fill>
        <patternFill>
          <bgColor theme="0" tint="-0.14996795556505021"/>
        </patternFill>
      </fill>
      <border>
        <top style="thin">
          <color indexed="64"/>
        </top>
        <bottom style="thin">
          <color indexed="64"/>
        </bottom>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4.9989318521683403E-2"/>
      </font>
      <fill>
        <patternFill>
          <bgColor theme="0"/>
        </patternFill>
      </fill>
      <border>
        <left/>
        <right/>
        <top style="thin">
          <color indexed="64"/>
        </top>
        <bottom style="thin">
          <color indexed="64"/>
        </bottom>
      </border>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1" tint="0.499984740745262"/>
      </font>
      <fill>
        <patternFill>
          <bgColor theme="1"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auto="1"/>
      </font>
      <fill>
        <patternFill>
          <bgColor theme="0" tint="-0.14996795556505021"/>
        </patternFill>
      </fill>
      <border>
        <left style="thin">
          <color indexed="64"/>
        </left>
        <top style="thin">
          <color indexed="64"/>
        </top>
        <bottom style="thin">
          <color indexed="64"/>
        </bottom>
      </border>
    </dxf>
    <dxf>
      <font>
        <color theme="0"/>
      </font>
      <fill>
        <patternFill>
          <bgColor theme="0"/>
        </patternFill>
      </fill>
      <border>
        <left/>
        <right/>
        <top style="thin">
          <color indexed="64"/>
        </top>
        <bottom style="thin">
          <color indexed="64"/>
        </bottom>
      </border>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b/>
        <i val="0"/>
        <color theme="0"/>
      </font>
      <fill>
        <patternFill>
          <bgColor rgb="FFFF0000"/>
        </patternFill>
      </fill>
    </dxf>
    <dxf>
      <font>
        <color auto="1"/>
        <name val="Cambria"/>
        <scheme val="none"/>
      </font>
      <fill>
        <patternFill>
          <bgColor theme="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color auto="1"/>
      </font>
      <fill>
        <patternFill>
          <bgColor theme="0"/>
        </patternFill>
      </fill>
    </dxf>
    <dxf>
      <font>
        <color theme="1"/>
      </font>
      <fill>
        <patternFill>
          <bgColor theme="0"/>
        </patternFill>
      </fill>
    </dxf>
    <dxf>
      <font>
        <b/>
        <i val="0"/>
        <color theme="0"/>
      </font>
      <fill>
        <patternFill>
          <bgColor rgb="FFFF0000"/>
        </patternFill>
      </fill>
    </dxf>
    <dxf>
      <font>
        <b val="0"/>
        <i val="0"/>
        <strike val="0"/>
        <color auto="1"/>
        <name val="Cambria"/>
        <scheme val="none"/>
      </font>
      <fill>
        <patternFill>
          <bgColor theme="0"/>
        </patternFill>
      </fill>
    </dxf>
    <dxf>
      <font>
        <b/>
        <i val="0"/>
        <color theme="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1" tint="0.499984740745262"/>
      </font>
      <fill>
        <patternFill>
          <bgColor theme="1"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b/>
        <i val="0"/>
        <color theme="0"/>
      </font>
      <fill>
        <patternFill>
          <bgColor rgb="FFFF0000"/>
        </patternFill>
      </fill>
    </dxf>
    <dxf>
      <font>
        <color auto="1"/>
        <name val="Cambria"/>
        <scheme val="none"/>
      </font>
      <fill>
        <patternFill>
          <bgColor theme="0"/>
        </patternFill>
      </fill>
    </dxf>
    <dxf>
      <font>
        <color auto="1"/>
        <name val="Cambria"/>
        <scheme val="none"/>
      </font>
      <fill>
        <patternFill>
          <bgColor theme="0"/>
        </patternFill>
      </fill>
    </dxf>
    <dxf>
      <font>
        <b/>
        <i val="0"/>
        <color theme="0"/>
      </font>
      <fill>
        <patternFill>
          <bgColor rgb="FFFF0000"/>
        </patternFill>
      </fill>
    </dxf>
    <dxf>
      <font>
        <color auto="1"/>
        <name val="Cambria"/>
        <scheme val="none"/>
      </font>
      <fill>
        <patternFill>
          <bgColor theme="0"/>
        </patternFill>
      </fill>
    </dxf>
    <dxf>
      <font>
        <b/>
        <i val="0"/>
        <color theme="0"/>
      </font>
      <fill>
        <patternFill>
          <bgColor rgb="FFFF0000"/>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ndense val="0"/>
        <extend val="0"/>
        <color indexed="23"/>
      </font>
      <fill>
        <patternFill>
          <bgColor indexed="23"/>
        </patternFill>
      </fill>
    </dxf>
    <dxf>
      <font>
        <color theme="0" tint="-0.499984740745262"/>
      </font>
      <fill>
        <patternFill>
          <bgColor theme="0" tint="-0.499984740745262"/>
        </patternFill>
      </fill>
    </dxf>
    <dxf>
      <font>
        <color theme="1" tint="0.499984740745262"/>
      </font>
      <fill>
        <patternFill>
          <bgColor theme="1"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lor theme="0" tint="-0.499984740745262"/>
      </font>
      <fill>
        <patternFill>
          <bgColor theme="0" tint="-0.499984740745262"/>
        </patternFill>
      </fill>
    </dxf>
    <dxf>
      <font>
        <condense val="0"/>
        <extend val="0"/>
        <color indexed="23"/>
      </font>
      <fill>
        <patternFill>
          <bgColor indexed="23"/>
        </patternFill>
      </fill>
    </dxf>
    <dxf>
      <font>
        <condense val="0"/>
        <extend val="0"/>
        <color indexed="23"/>
      </font>
      <fill>
        <patternFill>
          <bgColor indexed="23"/>
        </patternFill>
      </fill>
    </dxf>
    <dxf>
      <font>
        <condense val="0"/>
        <extend val="0"/>
        <color indexed="23"/>
      </font>
      <fill>
        <patternFill>
          <bgColor indexed="23"/>
        </patternFill>
      </fill>
    </dxf>
  </dxfs>
  <tableStyles count="0" defaultTableStyle="TableStyleMedium9" defaultPivotStyle="PivotStyleLight16"/>
  <colors>
    <mruColors>
      <color rgb="FF3D6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breeam.org/" TargetMode="External"/></Relationships>
</file>

<file path=xl/drawings/drawing1.xml><?xml version="1.0" encoding="utf-8"?>
<xdr:wsDr xmlns:xdr="http://schemas.openxmlformats.org/drawingml/2006/spreadsheetDrawing" xmlns:a="http://schemas.openxmlformats.org/drawingml/2006/main">
  <xdr:twoCellAnchor>
    <xdr:from>
      <xdr:col>8</xdr:col>
      <xdr:colOff>981808</xdr:colOff>
      <xdr:row>0</xdr:row>
      <xdr:rowOff>158668</xdr:rowOff>
    </xdr:from>
    <xdr:to>
      <xdr:col>11</xdr:col>
      <xdr:colOff>19050</xdr:colOff>
      <xdr:row>2</xdr:row>
      <xdr:rowOff>9525</xdr:rowOff>
    </xdr:to>
    <xdr:pic>
      <xdr:nvPicPr>
        <xdr:cNvPr id="24796" name="Picture 2" descr="Breeam_logo">
          <a:hlinkClick xmlns:r="http://schemas.openxmlformats.org/officeDocument/2006/relationships" r:id="rId1"/>
          <a:extLst>
            <a:ext uri="{FF2B5EF4-FFF2-40B4-BE49-F238E27FC236}">
              <a16:creationId xmlns:a16="http://schemas.microsoft.com/office/drawing/2014/main" id="{00000000-0008-0000-0000-0000DC6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01808" y="158668"/>
          <a:ext cx="2180492" cy="466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1620371</xdr:colOff>
      <xdr:row>1</xdr:row>
      <xdr:rowOff>0</xdr:rowOff>
    </xdr:from>
    <xdr:to>
      <xdr:col>6</xdr:col>
      <xdr:colOff>1915646</xdr:colOff>
      <xdr:row>2</xdr:row>
      <xdr:rowOff>9525</xdr:rowOff>
    </xdr:to>
    <xdr:pic>
      <xdr:nvPicPr>
        <xdr:cNvPr id="29794" name="Picture 2" descr="Breeam_logo">
          <a:hlinkClick xmlns:r="http://schemas.openxmlformats.org/officeDocument/2006/relationships" r:id="rId1"/>
          <a:extLst>
            <a:ext uri="{FF2B5EF4-FFF2-40B4-BE49-F238E27FC236}">
              <a16:creationId xmlns:a16="http://schemas.microsoft.com/office/drawing/2014/main" id="{00000000-0008-0000-0600-0000627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9606" y="156882"/>
          <a:ext cx="2211481"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1701614</xdr:colOff>
      <xdr:row>1</xdr:row>
      <xdr:rowOff>0</xdr:rowOff>
    </xdr:from>
    <xdr:to>
      <xdr:col>7</xdr:col>
      <xdr:colOff>14008</xdr:colOff>
      <xdr:row>2</xdr:row>
      <xdr:rowOff>9525</xdr:rowOff>
    </xdr:to>
    <xdr:pic>
      <xdr:nvPicPr>
        <xdr:cNvPr id="22865" name="Picture 2" descr="Breeam_logo">
          <a:hlinkClick xmlns:r="http://schemas.openxmlformats.org/officeDocument/2006/relationships" r:id="rId1"/>
          <a:extLst>
            <a:ext uri="{FF2B5EF4-FFF2-40B4-BE49-F238E27FC236}">
              <a16:creationId xmlns:a16="http://schemas.microsoft.com/office/drawing/2014/main" id="{00000000-0008-0000-0700-0000515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49026" y="156882"/>
          <a:ext cx="2144806"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1866900</xdr:colOff>
      <xdr:row>0</xdr:row>
      <xdr:rowOff>152400</xdr:rowOff>
    </xdr:from>
    <xdr:to>
      <xdr:col>7</xdr:col>
      <xdr:colOff>123825</xdr:colOff>
      <xdr:row>1</xdr:row>
      <xdr:rowOff>447675</xdr:rowOff>
    </xdr:to>
    <xdr:pic>
      <xdr:nvPicPr>
        <xdr:cNvPr id="18954" name="Picture 2" descr="Breeam_logo">
          <a:hlinkClick xmlns:r="http://schemas.openxmlformats.org/officeDocument/2006/relationships" r:id="rId1"/>
          <a:extLst>
            <a:ext uri="{FF2B5EF4-FFF2-40B4-BE49-F238E27FC236}">
              <a16:creationId xmlns:a16="http://schemas.microsoft.com/office/drawing/2014/main" id="{00000000-0008-0000-0800-00000A4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10825" y="152400"/>
          <a:ext cx="2085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1685925</xdr:colOff>
      <xdr:row>1</xdr:row>
      <xdr:rowOff>0</xdr:rowOff>
    </xdr:from>
    <xdr:to>
      <xdr:col>7</xdr:col>
      <xdr:colOff>0</xdr:colOff>
      <xdr:row>2</xdr:row>
      <xdr:rowOff>0</xdr:rowOff>
    </xdr:to>
    <xdr:pic>
      <xdr:nvPicPr>
        <xdr:cNvPr id="20184" name="Picture 2" descr="Breeam_logo">
          <a:hlinkClick xmlns:r="http://schemas.openxmlformats.org/officeDocument/2006/relationships" r:id="rId1"/>
          <a:extLst>
            <a:ext uri="{FF2B5EF4-FFF2-40B4-BE49-F238E27FC236}">
              <a16:creationId xmlns:a16="http://schemas.microsoft.com/office/drawing/2014/main" id="{00000000-0008-0000-0900-0000D84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9975" y="161925"/>
          <a:ext cx="21431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1001417</xdr:colOff>
      <xdr:row>1</xdr:row>
      <xdr:rowOff>0</xdr:rowOff>
    </xdr:from>
    <xdr:to>
      <xdr:col>15</xdr:col>
      <xdr:colOff>3002</xdr:colOff>
      <xdr:row>2</xdr:row>
      <xdr:rowOff>0</xdr:rowOff>
    </xdr:to>
    <xdr:pic>
      <xdr:nvPicPr>
        <xdr:cNvPr id="29039" name="Picture 2" descr="Breeam_logo">
          <a:hlinkClick xmlns:r="http://schemas.openxmlformats.org/officeDocument/2006/relationships" r:id="rId1"/>
          <a:extLst>
            <a:ext uri="{FF2B5EF4-FFF2-40B4-BE49-F238E27FC236}">
              <a16:creationId xmlns:a16="http://schemas.microsoft.com/office/drawing/2014/main" id="{00000000-0008-0000-0B00-00006F7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38417" y="195385"/>
          <a:ext cx="2225431" cy="459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314325</xdr:colOff>
      <xdr:row>1</xdr:row>
      <xdr:rowOff>0</xdr:rowOff>
    </xdr:from>
    <xdr:to>
      <xdr:col>8</xdr:col>
      <xdr:colOff>19050</xdr:colOff>
      <xdr:row>2</xdr:row>
      <xdr:rowOff>0</xdr:rowOff>
    </xdr:to>
    <xdr:pic>
      <xdr:nvPicPr>
        <xdr:cNvPr id="26747" name="Picture 2" descr="Breeam_logo">
          <a:hlinkClick xmlns:r="http://schemas.openxmlformats.org/officeDocument/2006/relationships" r:id="rId1"/>
          <a:extLst>
            <a:ext uri="{FF2B5EF4-FFF2-40B4-BE49-F238E27FC236}">
              <a16:creationId xmlns:a16="http://schemas.microsoft.com/office/drawing/2014/main" id="{00000000-0008-0000-0C00-00007B6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0" y="161925"/>
          <a:ext cx="2000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76200</xdr:colOff>
      <xdr:row>1</xdr:row>
      <xdr:rowOff>0</xdr:rowOff>
    </xdr:from>
    <xdr:to>
      <xdr:col>14</xdr:col>
      <xdr:colOff>9525</xdr:colOff>
      <xdr:row>2</xdr:row>
      <xdr:rowOff>0</xdr:rowOff>
    </xdr:to>
    <xdr:pic>
      <xdr:nvPicPr>
        <xdr:cNvPr id="27751" name="Picture 2" descr="Breeam_logo">
          <a:hlinkClick xmlns:r="http://schemas.openxmlformats.org/officeDocument/2006/relationships" r:id="rId1"/>
          <a:extLst>
            <a:ext uri="{FF2B5EF4-FFF2-40B4-BE49-F238E27FC236}">
              <a16:creationId xmlns:a16="http://schemas.microsoft.com/office/drawing/2014/main" id="{00000000-0008-0000-0D00-0000676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34250" y="161925"/>
          <a:ext cx="18097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lley\bre\Documents%20and%20Settings\BevanT\My%20Documents\BREEAM%20%202011%20documents\BREEAM_2011_Mat01_calculator_FINAL_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lley\bre\Documents%20and%20Settings\BevanT\My%20Documents\BREEAM%20%202011%20documents\Latest%20docs%20for%20V%20drive%20upload\BREEAM_2011_Mat03_calculator_v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lley\bre\Users\FAULKN~1\AppData\Local\Temp\BREEAM_2011_Wat01_calculator_v1.3%20draft%202nd%20release_v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lley\bre\Documents%20and%20Settings\BevanT\My%20Documents\BREEAM%20%202011%20documents\BREEAM_2011_LE4_LE5_calculator_FINAL_v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lley\bre\BRE%20Global\Sustainability\8%20Projects\BREEAM%202011\4%20Systems\BREEAM%202011%20Calculator%20Tools\Beta\LE04_LE05\LE4_and_LE5_calculator_2011_rev01b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1 Calculator"/>
      <sheetName val="Schedule of changes"/>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3"/>
      <sheetName val="Schedule of change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Instructions"/>
      <sheetName val="NCM act and schedules"/>
      <sheetName val="Activity database"/>
      <sheetName val="Restaurant and cafes calculator"/>
      <sheetName val="Cinema and Theatres"/>
      <sheetName val="Leisure centres"/>
      <sheetName val="Residential calculator"/>
      <sheetName val="Office calculator"/>
      <sheetName val="Retail calculator"/>
      <sheetName val="Industrial calculator"/>
      <sheetName val="Education calculator"/>
      <sheetName val="Other building type calculator"/>
      <sheetName val="Average flow rate calculator"/>
      <sheetName val="Schedule of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03 Ecology Calculator 1"/>
      <sheetName val="LE03&amp;LE04 Ecology Calculator 2"/>
      <sheetName val="Schedule of changes"/>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03 Ecology Calculator 1"/>
      <sheetName val="LE03&amp;LE04 Ecology Calculator 2"/>
      <sheetName val="Schedule of changes"/>
    </sheet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O10"/>
  <sheetViews>
    <sheetView tabSelected="1" zoomScale="80" zoomScaleNormal="80" workbookViewId="0">
      <pane ySplit="2" topLeftCell="A3" activePane="bottomLeft" state="frozen"/>
      <selection activeCell="B11" sqref="B11"/>
      <selection pane="bottomLeft" activeCell="B4" sqref="B4:K4"/>
    </sheetView>
  </sheetViews>
  <sheetFormatPr defaultColWidth="9.1796875" defaultRowHeight="12.5" x14ac:dyDescent="0.25"/>
  <cols>
    <col min="1" max="1" width="4.26953125" style="488" customWidth="1"/>
    <col min="2" max="11" width="15.7265625" style="488" customWidth="1"/>
    <col min="12" max="16384" width="9.1796875" style="488"/>
  </cols>
  <sheetData>
    <row r="2" spans="2:41" s="117" customFormat="1" ht="36" customHeight="1" x14ac:dyDescent="0.3">
      <c r="B2" s="416" t="s">
        <v>0</v>
      </c>
      <c r="C2" s="416"/>
      <c r="D2" s="416"/>
      <c r="E2" s="416"/>
      <c r="F2" s="416"/>
      <c r="G2" s="416"/>
      <c r="H2" s="416"/>
      <c r="I2" s="416"/>
      <c r="J2" s="416"/>
      <c r="K2" s="416"/>
      <c r="AD2" s="119"/>
      <c r="AO2" s="120"/>
    </row>
    <row r="3" spans="2:41" s="117" customFormat="1" ht="15" customHeight="1" x14ac:dyDescent="0.3">
      <c r="B3" s="487"/>
      <c r="C3" s="487"/>
      <c r="D3" s="487"/>
      <c r="E3" s="487"/>
      <c r="F3" s="487"/>
      <c r="G3" s="487"/>
      <c r="H3" s="487"/>
      <c r="I3" s="487"/>
      <c r="J3" s="487"/>
      <c r="K3" s="487"/>
      <c r="AD3" s="119"/>
      <c r="AO3" s="120"/>
    </row>
    <row r="4" spans="2:41" ht="213" customHeight="1" x14ac:dyDescent="0.25">
      <c r="B4" s="530" t="s">
        <v>1</v>
      </c>
      <c r="C4" s="531"/>
      <c r="D4" s="531"/>
      <c r="E4" s="531"/>
      <c r="F4" s="531"/>
      <c r="G4" s="531"/>
      <c r="H4" s="531"/>
      <c r="I4" s="531"/>
      <c r="J4" s="531"/>
      <c r="K4" s="532"/>
    </row>
    <row r="5" spans="2:41" ht="321" customHeight="1" x14ac:dyDescent="0.25">
      <c r="B5" s="533" t="s">
        <v>2</v>
      </c>
      <c r="C5" s="534"/>
      <c r="D5" s="534"/>
      <c r="E5" s="534"/>
      <c r="F5" s="534"/>
      <c r="G5" s="534"/>
      <c r="H5" s="534"/>
      <c r="I5" s="534"/>
      <c r="J5" s="534"/>
      <c r="K5" s="535"/>
    </row>
    <row r="6" spans="2:41" ht="15" customHeight="1" x14ac:dyDescent="0.25">
      <c r="B6" s="491"/>
      <c r="C6" s="489"/>
      <c r="D6" s="489"/>
      <c r="E6" s="489"/>
      <c r="F6" s="489"/>
      <c r="G6" s="489"/>
      <c r="H6" s="489"/>
      <c r="I6" s="489"/>
      <c r="J6" s="489"/>
      <c r="K6" s="489"/>
    </row>
    <row r="7" spans="2:41" ht="15" customHeight="1" x14ac:dyDescent="0.25">
      <c r="B7" s="491"/>
      <c r="C7" s="490"/>
      <c r="D7" s="490"/>
      <c r="E7" s="490"/>
      <c r="F7" s="490"/>
      <c r="G7" s="490"/>
      <c r="H7" s="490"/>
      <c r="I7" s="490"/>
      <c r="J7" s="490"/>
      <c r="K7" s="490"/>
    </row>
    <row r="8" spans="2:41" ht="15" customHeight="1" x14ac:dyDescent="0.25">
      <c r="B8" s="491"/>
      <c r="C8" s="490"/>
      <c r="D8" s="490"/>
      <c r="E8" s="490"/>
      <c r="F8" s="490"/>
      <c r="G8" s="490"/>
      <c r="H8" s="490"/>
      <c r="I8" s="490"/>
      <c r="J8" s="490"/>
      <c r="K8" s="490"/>
    </row>
    <row r="9" spans="2:41" ht="15" customHeight="1" x14ac:dyDescent="0.25">
      <c r="B9" s="491"/>
      <c r="C9" s="490"/>
      <c r="D9" s="490"/>
      <c r="E9" s="490"/>
      <c r="F9" s="490"/>
      <c r="G9" s="490"/>
      <c r="H9" s="490"/>
      <c r="I9" s="490"/>
      <c r="J9" s="490"/>
      <c r="K9" s="490"/>
    </row>
    <row r="10" spans="2:41" ht="15" customHeight="1" x14ac:dyDescent="0.25">
      <c r="B10" s="491"/>
      <c r="C10" s="490"/>
      <c r="D10" s="490"/>
      <c r="E10" s="490"/>
      <c r="F10" s="490"/>
      <c r="G10" s="490"/>
      <c r="H10" s="490"/>
      <c r="I10" s="490"/>
      <c r="J10" s="490"/>
      <c r="K10" s="490"/>
    </row>
  </sheetData>
  <sheetProtection algorithmName="SHA-512" hashValue="++FL8AMPrLkH+gOOciOdFR9w+MFxqdhSMHTYetC2NcFVG45fVNnF817TNVCeZcrV3LSxODbAKhbTnpuJuWzj9A==" saltValue="b3xtPe8HnxIhlwcf1nO1XQ==" spinCount="100000" sheet="1" objects="1" scenarios="1"/>
  <mergeCells count="2">
    <mergeCell ref="B4:K4"/>
    <mergeCell ref="B5:K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N285"/>
  <sheetViews>
    <sheetView zoomScale="80" zoomScaleNormal="80" workbookViewId="0">
      <pane ySplit="2" topLeftCell="A3" activePane="bottomLeft" state="frozen"/>
      <selection activeCell="M4" sqref="M4"/>
      <selection pane="bottomLeft" activeCell="B3" sqref="B3"/>
    </sheetView>
  </sheetViews>
  <sheetFormatPr defaultColWidth="9.1796875" defaultRowHeight="13" x14ac:dyDescent="0.3"/>
  <cols>
    <col min="1" max="1" width="5.453125" style="121" customWidth="1"/>
    <col min="2" max="2" width="51.54296875" style="121" customWidth="1"/>
    <col min="3" max="6" width="28.7265625" style="121" customWidth="1"/>
    <col min="7" max="7" width="28.7265625" style="161" customWidth="1"/>
    <col min="8" max="8" width="5.7265625" style="117" customWidth="1"/>
    <col min="9" max="9" width="10.453125" style="121" customWidth="1"/>
    <col min="10" max="10" width="42.453125" style="121" customWidth="1"/>
    <col min="11" max="12" width="31" style="121" customWidth="1"/>
    <col min="13" max="13" width="32.26953125" style="121" customWidth="1"/>
    <col min="14" max="14" width="38.26953125" style="121" customWidth="1"/>
    <col min="15" max="15" width="29" style="121" customWidth="1"/>
    <col min="16" max="16" width="31.54296875" style="121" customWidth="1"/>
    <col min="17" max="20" width="29" style="121" customWidth="1"/>
    <col min="21" max="21" width="18.81640625" style="121" customWidth="1"/>
    <col min="22" max="22" width="18.7265625" style="121" customWidth="1"/>
    <col min="23" max="27" width="27.26953125" style="121" customWidth="1"/>
    <col min="28" max="28" width="27.26953125" style="117" customWidth="1"/>
    <col min="29" max="29" width="32.1796875" style="119" customWidth="1"/>
    <col min="30" max="31" width="16.54296875" style="117" customWidth="1"/>
    <col min="32" max="32" width="11.26953125" style="117" customWidth="1"/>
    <col min="33" max="39" width="9.1796875" style="117" customWidth="1"/>
    <col min="40" max="40" width="9.1796875" style="120" customWidth="1"/>
    <col min="41" max="41" width="9.1796875" style="117" customWidth="1"/>
    <col min="42" max="16384" width="9.1796875" style="117"/>
  </cols>
  <sheetData>
    <row r="1" spans="1:40" ht="13.15" customHeight="1" x14ac:dyDescent="0.3">
      <c r="A1" s="117"/>
      <c r="B1" s="117"/>
      <c r="C1" s="117"/>
      <c r="D1" s="117"/>
      <c r="E1" s="117"/>
      <c r="F1" s="117"/>
      <c r="G1" s="118"/>
      <c r="I1" s="117"/>
      <c r="J1" s="117"/>
      <c r="K1" s="117"/>
      <c r="L1" s="117"/>
      <c r="M1" s="117"/>
      <c r="N1" s="117"/>
      <c r="O1" s="117"/>
      <c r="P1" s="117"/>
      <c r="Q1" s="117"/>
      <c r="R1" s="117"/>
      <c r="S1" s="117"/>
      <c r="T1" s="117"/>
      <c r="U1" s="117"/>
      <c r="V1" s="117"/>
      <c r="W1" s="117"/>
      <c r="X1" s="117"/>
      <c r="Y1" s="117"/>
      <c r="Z1" s="117"/>
      <c r="AA1" s="117"/>
    </row>
    <row r="2" spans="1:40" ht="36" customHeight="1" x14ac:dyDescent="0.3">
      <c r="A2" s="117"/>
      <c r="B2" s="440" t="s">
        <v>846</v>
      </c>
      <c r="C2" s="416"/>
      <c r="D2" s="416"/>
      <c r="E2" s="416"/>
      <c r="F2" s="416"/>
      <c r="G2" s="416"/>
      <c r="I2" s="117"/>
      <c r="J2" s="117"/>
      <c r="K2" s="117"/>
      <c r="L2" s="117"/>
      <c r="M2" s="117"/>
      <c r="N2" s="117"/>
      <c r="O2" s="117"/>
      <c r="P2" s="117"/>
      <c r="Q2" s="117"/>
      <c r="R2" s="117"/>
      <c r="S2" s="117"/>
      <c r="T2" s="117"/>
      <c r="U2" s="117"/>
      <c r="V2" s="117"/>
      <c r="W2" s="117"/>
      <c r="X2" s="117"/>
      <c r="Y2" s="117"/>
      <c r="Z2" s="117"/>
      <c r="AA2" s="117"/>
    </row>
    <row r="3" spans="1:40" ht="15" customHeight="1" x14ac:dyDescent="0.3">
      <c r="A3" s="117"/>
      <c r="B3" s="117"/>
      <c r="C3" s="117"/>
      <c r="D3" s="117"/>
      <c r="E3" s="117"/>
      <c r="F3" s="117"/>
      <c r="G3" s="117"/>
      <c r="I3" s="117"/>
      <c r="J3" s="117"/>
      <c r="K3" s="117"/>
      <c r="L3" s="117"/>
      <c r="M3" s="117"/>
      <c r="N3" s="117"/>
      <c r="O3" s="117"/>
      <c r="P3" s="117"/>
      <c r="Q3" s="117"/>
      <c r="R3" s="117"/>
      <c r="S3" s="117"/>
      <c r="T3" s="117"/>
      <c r="U3" s="117"/>
      <c r="V3" s="117"/>
      <c r="W3" s="117"/>
      <c r="X3" s="117"/>
      <c r="Y3" s="117"/>
      <c r="Z3" s="117"/>
      <c r="AA3" s="117"/>
    </row>
    <row r="4" spans="1:40" ht="32.15" customHeight="1" x14ac:dyDescent="0.3">
      <c r="A4" s="87"/>
      <c r="B4" s="422" t="s">
        <v>689</v>
      </c>
      <c r="C4" s="422"/>
      <c r="D4" s="422"/>
      <c r="E4" s="422"/>
      <c r="F4" s="422"/>
      <c r="G4" s="422"/>
      <c r="I4" s="517" t="s">
        <v>690</v>
      </c>
      <c r="J4" s="517"/>
      <c r="K4" s="117"/>
      <c r="L4" s="117"/>
      <c r="M4" s="117"/>
      <c r="N4" s="86"/>
      <c r="O4" s="86"/>
      <c r="P4" s="86"/>
      <c r="Q4" s="86"/>
      <c r="R4" s="86"/>
      <c r="S4" s="86"/>
      <c r="T4" s="86"/>
      <c r="U4" s="86"/>
      <c r="V4" s="86"/>
      <c r="W4" s="86"/>
      <c r="X4" s="86"/>
      <c r="Y4" s="86"/>
      <c r="Z4" s="86"/>
      <c r="AA4" s="86"/>
      <c r="AB4" s="86"/>
      <c r="AC4" s="117"/>
      <c r="AN4" s="117"/>
    </row>
    <row r="5" spans="1:40" ht="15" customHeight="1" x14ac:dyDescent="0.3">
      <c r="A5" s="87"/>
      <c r="B5" s="268"/>
      <c r="C5" s="268"/>
      <c r="D5" s="87"/>
      <c r="E5" s="87"/>
      <c r="F5" s="87"/>
      <c r="G5" s="87"/>
      <c r="I5" s="211"/>
      <c r="J5" s="294" t="s">
        <v>691</v>
      </c>
      <c r="K5" s="117"/>
      <c r="L5" s="117"/>
      <c r="M5" s="117"/>
      <c r="N5" s="86"/>
      <c r="O5" s="86"/>
      <c r="P5" s="86"/>
      <c r="Q5" s="86"/>
      <c r="R5" s="86"/>
      <c r="S5" s="86"/>
      <c r="T5" s="86"/>
      <c r="U5" s="86"/>
      <c r="V5" s="86"/>
      <c r="W5" s="86"/>
      <c r="X5" s="86"/>
      <c r="Y5" s="86"/>
      <c r="Z5" s="86"/>
      <c r="AA5" s="86"/>
      <c r="AB5" s="86"/>
      <c r="AC5" s="86"/>
      <c r="AD5" s="86"/>
      <c r="AN5" s="117"/>
    </row>
    <row r="6" spans="1:40" ht="15" customHeight="1" x14ac:dyDescent="0.3">
      <c r="A6" s="87"/>
      <c r="B6" s="434" t="s">
        <v>692</v>
      </c>
      <c r="C6" s="577"/>
      <c r="D6" s="578"/>
      <c r="E6" s="579"/>
      <c r="F6" s="87"/>
      <c r="G6" s="87"/>
      <c r="I6" s="212"/>
      <c r="J6" s="294" t="s">
        <v>693</v>
      </c>
      <c r="K6" s="122"/>
      <c r="L6" s="122"/>
      <c r="M6" s="117"/>
      <c r="N6" s="86"/>
      <c r="O6" s="86"/>
      <c r="P6" s="86"/>
      <c r="Q6" s="86"/>
      <c r="R6" s="86"/>
      <c r="S6" s="86"/>
      <c r="T6" s="86"/>
      <c r="U6" s="86"/>
      <c r="V6" s="86"/>
      <c r="W6" s="86"/>
      <c r="X6" s="86"/>
      <c r="Y6" s="86"/>
      <c r="Z6" s="86"/>
      <c r="AA6" s="86"/>
      <c r="AB6" s="86"/>
      <c r="AC6" s="86"/>
      <c r="AD6" s="86"/>
      <c r="AN6" s="117"/>
    </row>
    <row r="7" spans="1:40" ht="15" customHeight="1" x14ac:dyDescent="0.3">
      <c r="A7" s="87"/>
      <c r="B7" s="87"/>
      <c r="C7" s="87"/>
      <c r="D7" s="87"/>
      <c r="E7" s="87"/>
      <c r="F7" s="87"/>
      <c r="G7" s="87"/>
      <c r="I7" s="213"/>
      <c r="J7" s="294" t="str">
        <f>'Office calculator'!J7</f>
        <v>Cells that are dark grey are user input cells which are not applicable due to either building type or user input/option selection or default setting. Note these cells can change to ones requiring user input depending on the users option selection in other cells.</v>
      </c>
      <c r="K7" s="117"/>
      <c r="L7" s="117"/>
      <c r="M7" s="117"/>
      <c r="N7" s="86"/>
      <c r="O7" s="86"/>
      <c r="P7" s="86"/>
      <c r="Q7" s="86"/>
      <c r="R7" s="86"/>
      <c r="S7" s="86"/>
      <c r="T7" s="86"/>
      <c r="U7" s="86"/>
      <c r="V7" s="86"/>
      <c r="W7" s="86"/>
      <c r="X7" s="86"/>
      <c r="Y7" s="86"/>
      <c r="Z7" s="86"/>
      <c r="AA7" s="86"/>
      <c r="AB7" s="86"/>
      <c r="AC7" s="86"/>
      <c r="AD7" s="86"/>
      <c r="AN7" s="117"/>
    </row>
    <row r="8" spans="1:40" ht="15" customHeight="1" x14ac:dyDescent="0.3">
      <c r="A8" s="87"/>
      <c r="B8" s="434" t="s">
        <v>695</v>
      </c>
      <c r="C8" s="577"/>
      <c r="D8" s="578"/>
      <c r="E8" s="579"/>
      <c r="F8" s="87"/>
      <c r="G8" s="87"/>
      <c r="I8" s="292" t="s">
        <v>696</v>
      </c>
      <c r="J8" s="544" t="str">
        <f>'Office calculator'!J8:M12</f>
        <v>A red arrow indicates that option selection or mandatory data entry is required in one of the cells on the row where this arrow appears. Without appropriate selection/data the calculator will not be able to determine the number of BREEAM credits. Where the term "Requires building information" appears check to make sure there are no red arrows indicating an absence of option selection or data entry.</v>
      </c>
      <c r="K8" s="582"/>
      <c r="L8" s="582"/>
      <c r="M8" s="582"/>
      <c r="N8" s="86"/>
      <c r="O8" s="86"/>
      <c r="P8" s="86"/>
      <c r="Q8" s="86"/>
      <c r="R8" s="86"/>
      <c r="S8" s="86"/>
      <c r="T8" s="86"/>
      <c r="U8" s="86"/>
      <c r="V8" s="86"/>
      <c r="W8" s="86"/>
      <c r="X8" s="86"/>
      <c r="Y8" s="86"/>
      <c r="Z8" s="86"/>
      <c r="AA8" s="86"/>
      <c r="AB8" s="86"/>
      <c r="AC8" s="86"/>
      <c r="AD8" s="86"/>
      <c r="AN8" s="117"/>
    </row>
    <row r="9" spans="1:40" ht="15" customHeight="1" x14ac:dyDescent="0.3">
      <c r="A9" s="87"/>
      <c r="B9" s="87"/>
      <c r="C9" s="467"/>
      <c r="D9" s="468"/>
      <c r="E9" s="468"/>
      <c r="F9" s="87"/>
      <c r="G9" s="87"/>
      <c r="I9" s="469"/>
      <c r="J9" s="544"/>
      <c r="K9" s="582"/>
      <c r="L9" s="582"/>
      <c r="M9" s="582"/>
      <c r="N9" s="86"/>
      <c r="O9" s="86"/>
      <c r="P9" s="86"/>
      <c r="Q9" s="86"/>
      <c r="R9" s="86"/>
      <c r="S9" s="86"/>
      <c r="T9" s="86"/>
      <c r="U9" s="86"/>
      <c r="V9" s="86"/>
      <c r="W9" s="86"/>
      <c r="X9" s="86"/>
      <c r="Y9" s="86"/>
      <c r="Z9" s="86"/>
      <c r="AA9" s="86"/>
      <c r="AB9" s="86"/>
      <c r="AC9" s="86"/>
      <c r="AD9" s="86"/>
      <c r="AN9" s="117"/>
    </row>
    <row r="10" spans="1:40" ht="15" customHeight="1" x14ac:dyDescent="0.3">
      <c r="A10" s="87"/>
      <c r="B10" s="434" t="s">
        <v>698</v>
      </c>
      <c r="C10" s="559" t="s">
        <v>699</v>
      </c>
      <c r="D10" s="559"/>
      <c r="E10" s="468"/>
      <c r="F10" s="87"/>
      <c r="G10" s="87"/>
      <c r="I10" s="469"/>
      <c r="J10" s="544"/>
      <c r="K10" s="582"/>
      <c r="L10" s="582"/>
      <c r="M10" s="582"/>
      <c r="N10" s="86"/>
      <c r="O10" s="86"/>
      <c r="P10" s="86"/>
      <c r="Q10" s="86"/>
      <c r="R10" s="86"/>
      <c r="S10" s="86"/>
      <c r="T10" s="86"/>
      <c r="U10" s="86"/>
      <c r="V10" s="86"/>
      <c r="W10" s="86"/>
      <c r="X10" s="86"/>
      <c r="Y10" s="86"/>
      <c r="Z10" s="86"/>
      <c r="AA10" s="86"/>
      <c r="AB10" s="86"/>
      <c r="AC10" s="86"/>
      <c r="AD10" s="86"/>
      <c r="AN10" s="117"/>
    </row>
    <row r="11" spans="1:40" ht="15" customHeight="1" x14ac:dyDescent="0.3">
      <c r="A11" s="87"/>
      <c r="B11" s="109"/>
      <c r="C11" s="109"/>
      <c r="D11" s="87"/>
      <c r="E11" s="87"/>
      <c r="F11" s="87"/>
      <c r="G11" s="88"/>
      <c r="I11" s="87"/>
      <c r="J11" s="582"/>
      <c r="K11" s="582"/>
      <c r="L11" s="582"/>
      <c r="M11" s="582"/>
      <c r="N11" s="117"/>
      <c r="O11" s="117"/>
      <c r="P11" s="117"/>
      <c r="Q11" s="117"/>
      <c r="R11" s="117"/>
      <c r="S11" s="117"/>
      <c r="T11" s="117"/>
      <c r="U11" s="117"/>
      <c r="V11" s="117"/>
      <c r="W11" s="117"/>
      <c r="X11" s="117"/>
      <c r="Y11" s="117"/>
      <c r="Z11" s="117"/>
      <c r="AA11" s="117"/>
    </row>
    <row r="12" spans="1:40" ht="25" customHeight="1" x14ac:dyDescent="0.3">
      <c r="A12" s="87"/>
      <c r="B12" s="441" t="s">
        <v>700</v>
      </c>
      <c r="C12" s="441" t="s">
        <v>701</v>
      </c>
      <c r="D12" s="442"/>
      <c r="E12" s="455" t="s">
        <v>847</v>
      </c>
      <c r="F12" s="445" t="s">
        <v>703</v>
      </c>
      <c r="G12" s="444" t="s">
        <v>704</v>
      </c>
      <c r="I12" s="117"/>
      <c r="J12" s="582"/>
      <c r="K12" s="582"/>
      <c r="L12" s="582"/>
      <c r="M12" s="582"/>
      <c r="N12" s="117"/>
      <c r="O12" s="117"/>
      <c r="P12" s="117"/>
      <c r="Q12" s="117"/>
      <c r="R12" s="117"/>
      <c r="S12" s="117"/>
      <c r="T12" s="117"/>
      <c r="U12" s="117"/>
      <c r="V12" s="117"/>
      <c r="W12" s="122"/>
      <c r="X12" s="122"/>
      <c r="Y12" s="122"/>
      <c r="Z12" s="122"/>
      <c r="AA12" s="122"/>
      <c r="AB12" s="122"/>
      <c r="AC12" s="122"/>
    </row>
    <row r="13" spans="1:40" ht="30" customHeight="1" x14ac:dyDescent="0.3">
      <c r="A13" s="293" t="str">
        <f>IF(B13=$Q$130,"&gt;","")</f>
        <v/>
      </c>
      <c r="B13" s="298" t="s">
        <v>587</v>
      </c>
      <c r="C13" s="570" t="str">
        <f>VLOOKUP(B13,'Activity database'!A:B,2,FALSE)</f>
        <v>Non-residential higher education learning resource centres/teaching facility only</v>
      </c>
      <c r="D13" s="571"/>
      <c r="E13" s="302" t="str">
        <f>IF(O142=0,Q138,O142)</f>
        <v>Requires building information</v>
      </c>
      <c r="F13" s="90">
        <f>VLOOKUP(B13,'Activity database'!A:AN,4,FALSE)</f>
        <v>195</v>
      </c>
      <c r="G13" s="90">
        <f>VLOOKUP(B13,'Activity database'!A:AN,5,FALSE)</f>
        <v>10</v>
      </c>
      <c r="I13" s="117"/>
      <c r="J13" s="117"/>
      <c r="K13" s="117"/>
      <c r="L13" s="117"/>
      <c r="M13" s="117"/>
      <c r="N13" s="117"/>
      <c r="O13" s="117"/>
      <c r="P13" s="117"/>
      <c r="Q13" s="117"/>
      <c r="R13" s="117"/>
      <c r="S13" s="117"/>
      <c r="T13" s="117"/>
      <c r="U13" s="117"/>
      <c r="V13" s="117"/>
      <c r="W13" s="123"/>
      <c r="X13" s="124"/>
      <c r="Y13" s="124"/>
      <c r="Z13" s="124"/>
      <c r="AA13" s="124"/>
      <c r="AB13" s="124"/>
      <c r="AC13" s="124"/>
    </row>
    <row r="14" spans="1:40" ht="17.25" customHeight="1" x14ac:dyDescent="0.3">
      <c r="A14" s="87"/>
      <c r="B14" s="87"/>
      <c r="C14" s="87"/>
      <c r="D14" s="87"/>
      <c r="E14" s="87"/>
      <c r="F14" s="110"/>
      <c r="G14" s="88"/>
      <c r="I14" s="117"/>
      <c r="J14" s="117"/>
      <c r="K14" s="117"/>
      <c r="L14" s="117"/>
      <c r="M14" s="117"/>
      <c r="N14" s="117"/>
      <c r="O14" s="117"/>
      <c r="P14" s="117"/>
      <c r="Q14" s="117"/>
      <c r="R14" s="117"/>
      <c r="S14" s="117"/>
      <c r="T14" s="117"/>
      <c r="U14" s="117"/>
      <c r="V14" s="117"/>
      <c r="W14" s="117"/>
      <c r="Y14" s="117"/>
      <c r="Z14" s="117"/>
      <c r="AA14" s="117"/>
    </row>
    <row r="15" spans="1:40" ht="25" customHeight="1" x14ac:dyDescent="0.3">
      <c r="A15" s="87"/>
      <c r="B15" s="451" t="s">
        <v>705</v>
      </c>
      <c r="C15" s="441" t="s">
        <v>706</v>
      </c>
      <c r="D15" s="442"/>
      <c r="E15" s="443"/>
      <c r="F15" s="444" t="s">
        <v>707</v>
      </c>
      <c r="G15" s="444" t="s">
        <v>708</v>
      </c>
      <c r="H15" s="560" t="str">
        <f>'Office calculator'!H15:O16</f>
        <v>Note: the  activity areas defined opposite are used to estimate the assessed building's default occupancy and therefore water consumption benchmark. These areas are chosen as they are deemed, by in large, to represent the permanently occupied spaces in the building and therefore reflect the number of building occupants/users. As a result it is not necessary to include all areas of the building that may be present, as the areas not defined are assumed to be used by the occupants of the building already accounted for by those areas that are listed.</v>
      </c>
      <c r="I15" s="544"/>
      <c r="J15" s="544"/>
      <c r="K15" s="544"/>
      <c r="L15" s="544"/>
      <c r="M15" s="544"/>
      <c r="N15" s="519"/>
      <c r="O15" s="519"/>
      <c r="P15" s="117"/>
      <c r="Q15" s="117"/>
      <c r="R15" s="117"/>
      <c r="S15" s="117"/>
      <c r="T15" s="117"/>
      <c r="U15" s="117"/>
      <c r="V15" s="117"/>
      <c r="W15" s="117"/>
      <c r="X15" s="87"/>
      <c r="Y15" s="117"/>
      <c r="Z15" s="117"/>
      <c r="AA15" s="117"/>
      <c r="AC15" s="117"/>
      <c r="AN15" s="117"/>
    </row>
    <row r="16" spans="1:40" ht="40" customHeight="1" x14ac:dyDescent="0.3">
      <c r="A16" s="293" t="str">
        <f>IF(B13=Q130,"",IF(F16=$Q$130,"&gt;",IF(AND(F16=$Q$131,G16=""),"&gt;","")))</f>
        <v>&gt;</v>
      </c>
      <c r="B16" s="235" t="str">
        <f>'Activity database'!A21</f>
        <v>Education - Seminar rooms/areas</v>
      </c>
      <c r="C16" s="564" t="str">
        <f>VLOOKUP(B16,'Activity database'!A:B,2,FALSE)</f>
        <v>Include seminar rooms/spaces and write-up rooms/spaces i.e. areas where students and lecturers gather for seminars/write-up. Exclude lecture theatres, labs, workshops and library/learning resource area.</v>
      </c>
      <c r="D16" s="564"/>
      <c r="E16" s="564"/>
      <c r="F16" s="218" t="s">
        <v>699</v>
      </c>
      <c r="G16" s="219"/>
      <c r="H16" s="560"/>
      <c r="I16" s="544"/>
      <c r="J16" s="544"/>
      <c r="K16" s="544"/>
      <c r="L16" s="544"/>
      <c r="M16" s="544"/>
      <c r="N16" s="519"/>
      <c r="O16" s="519"/>
      <c r="P16" s="117"/>
      <c r="Q16" s="117"/>
      <c r="R16" s="117"/>
      <c r="S16" s="117"/>
      <c r="T16" s="117"/>
      <c r="U16" s="117"/>
      <c r="V16" s="117"/>
      <c r="W16" s="117"/>
      <c r="X16" s="87"/>
      <c r="Y16" s="117"/>
      <c r="Z16" s="117"/>
      <c r="AA16" s="117"/>
      <c r="AC16" s="117"/>
      <c r="AN16" s="117"/>
    </row>
    <row r="17" spans="1:40" ht="40" customHeight="1" x14ac:dyDescent="0.3">
      <c r="A17" s="293" t="str">
        <f>IF(B13=Q130,"",IF(F17=$Q$130,"&gt;",IF(AND(F17=$Q$131,G17=""),"&gt;","")))</f>
        <v>&gt;</v>
      </c>
      <c r="B17" s="235" t="str">
        <f>'Activity database'!A22</f>
        <v>Education - Staff office and adminstration areas</v>
      </c>
      <c r="C17" s="564" t="str">
        <f>VLOOKUP(B17,'Activity database'!A:B,2,FALSE)</f>
        <v>Cellular or open plan office space, including staff rooms and staff kitchen where present/adjacent and reception areas (including library reception desk areas if present). Exlcudes meeting rooms, visitor waiting or circulation areas and other such spaces not permanently occupied.</v>
      </c>
      <c r="D17" s="564"/>
      <c r="E17" s="564"/>
      <c r="F17" s="218" t="s">
        <v>699</v>
      </c>
      <c r="G17" s="219"/>
      <c r="H17" s="519"/>
      <c r="I17" s="519"/>
      <c r="J17" s="519"/>
      <c r="K17" s="519"/>
      <c r="L17" s="519"/>
      <c r="M17" s="519"/>
      <c r="N17" s="519"/>
      <c r="O17" s="519"/>
      <c r="P17" s="87"/>
      <c r="Q17" s="87"/>
      <c r="R17" s="87"/>
      <c r="S17" s="117"/>
      <c r="T17" s="117"/>
      <c r="U17" s="117"/>
      <c r="V17" s="117"/>
      <c r="W17" s="117"/>
      <c r="X17" s="87"/>
      <c r="Y17" s="117"/>
      <c r="Z17" s="117"/>
      <c r="AA17" s="117"/>
      <c r="AC17" s="117"/>
      <c r="AN17" s="117"/>
    </row>
    <row r="18" spans="1:40" ht="40" customHeight="1" x14ac:dyDescent="0.3">
      <c r="A18" s="293" t="str">
        <f>IF(B13=Q130,"",IF(F18=$Q$130,"&gt;",IF(AND(F18=$Q$131,G18=""),"&gt;","")))</f>
        <v>&gt;</v>
      </c>
      <c r="B18" s="235" t="str">
        <f>'Activity database'!A23</f>
        <v>Education - Common room</v>
      </c>
      <c r="C18" s="564" t="str">
        <f>VLOOKUP(B18,'Activity database'!A:B,2,FALSE)</f>
        <v>Student common room.</v>
      </c>
      <c r="D18" s="564"/>
      <c r="E18" s="564"/>
      <c r="F18" s="218" t="s">
        <v>699</v>
      </c>
      <c r="G18" s="219"/>
      <c r="H18" s="519"/>
      <c r="I18" s="519"/>
      <c r="J18" s="519"/>
      <c r="K18" s="519"/>
      <c r="L18" s="519"/>
      <c r="M18" s="519"/>
      <c r="N18" s="519"/>
      <c r="O18" s="519"/>
      <c r="P18" s="87"/>
      <c r="Q18" s="87"/>
      <c r="R18" s="87"/>
      <c r="S18" s="117"/>
      <c r="T18" s="117"/>
      <c r="U18" s="117"/>
      <c r="V18" s="117"/>
      <c r="W18" s="117"/>
      <c r="X18" s="87"/>
      <c r="Y18" s="117"/>
      <c r="Z18" s="117"/>
      <c r="AA18" s="117"/>
      <c r="AC18" s="117"/>
      <c r="AN18" s="117"/>
    </row>
    <row r="19" spans="1:40" ht="40" customHeight="1" x14ac:dyDescent="0.3">
      <c r="A19" s="293" t="str">
        <f>IF(B13=Q130,"",IF(F19=$Q$130,"&gt;",IF(AND(F19=$Q$131,G19=""),"&gt;","")))</f>
        <v>&gt;</v>
      </c>
      <c r="B19" s="235" t="str">
        <f>'Activity database'!A24</f>
        <v>Education - dining area</v>
      </c>
      <c r="C19" s="546" t="str">
        <f>VLOOKUP(B19,'Activity database'!A:B,2,FALSE)</f>
        <v>Seated dining areas that accompany a permanently staffed kitchen preparing food for consumption on the premises (excludes small un-staffed kitchen's used by staff to re-heat food, make tea etc.)</v>
      </c>
      <c r="D19" s="546"/>
      <c r="E19" s="546"/>
      <c r="F19" s="218" t="s">
        <v>699</v>
      </c>
      <c r="G19" s="219"/>
      <c r="H19" s="547" t="s">
        <v>848</v>
      </c>
      <c r="I19" s="565"/>
      <c r="J19" s="565"/>
      <c r="K19" s="565"/>
      <c r="L19" s="565"/>
      <c r="M19" s="565"/>
      <c r="N19" s="565"/>
      <c r="O19" s="565"/>
      <c r="P19" s="117"/>
      <c r="Q19" s="117"/>
      <c r="R19" s="117"/>
      <c r="S19" s="117"/>
      <c r="T19" s="117"/>
      <c r="U19" s="117"/>
      <c r="V19" s="117"/>
      <c r="W19" s="117"/>
      <c r="X19" s="87"/>
      <c r="Y19" s="125"/>
      <c r="Z19" s="125"/>
      <c r="AA19" s="125"/>
      <c r="AB19" s="125"/>
      <c r="AC19" s="117"/>
      <c r="AN19" s="117"/>
    </row>
    <row r="20" spans="1:40" ht="40" customHeight="1" x14ac:dyDescent="0.3">
      <c r="A20" s="293" t="str">
        <f>IF(B13=Q130,"",IF(F20=$Q$130,"&gt;",""))</f>
        <v>&gt;</v>
      </c>
      <c r="B20" s="235" t="str">
        <f>'Activity database'!A25</f>
        <v>Sporting facility with changing rooms and showers</v>
      </c>
      <c r="C20" s="546" t="str">
        <f>VLOOKUP(B20,'Activity database'!A:B,2,FALSE)</f>
        <v>Changing facility with showers, used by students and/or staff, linked to a sporting/fitness facility e.g. gym, that is part of the assessed building.</v>
      </c>
      <c r="D20" s="546"/>
      <c r="E20" s="546"/>
      <c r="F20" s="218" t="s">
        <v>699</v>
      </c>
      <c r="G20" s="219"/>
      <c r="H20" s="580" t="str">
        <f>IF(F20=Q131,"Note: Net floor area is not required for this activity. Its inclusion (or otherwise) simply determines the usage/person/day factor and therefore resulting water consumption from the showers.","")</f>
        <v/>
      </c>
      <c r="I20" s="581"/>
      <c r="J20" s="581"/>
      <c r="K20" s="581"/>
      <c r="L20" s="581"/>
      <c r="M20" s="581"/>
      <c r="N20" s="581"/>
      <c r="O20" s="581"/>
      <c r="P20" s="117"/>
      <c r="Q20" s="117"/>
      <c r="R20" s="117"/>
      <c r="S20" s="117"/>
      <c r="T20" s="117"/>
      <c r="U20" s="117"/>
      <c r="V20" s="117"/>
      <c r="W20" s="117"/>
      <c r="Y20" s="126"/>
      <c r="Z20" s="126"/>
      <c r="AA20" s="126"/>
      <c r="AB20" s="126"/>
      <c r="AC20" s="117"/>
      <c r="AN20" s="117"/>
    </row>
    <row r="21" spans="1:40" ht="40" customHeight="1" x14ac:dyDescent="0.3">
      <c r="A21" s="293" t="str">
        <f>IF(B13=Q130,"",IF(B13=R135,"",IF(F21=$Q$130,"&gt;",IF(AND(F21=$Q$131,G21=""),"&gt;",""))))</f>
        <v>&gt;</v>
      </c>
      <c r="B21" s="235" t="str">
        <f>'Activity database'!A26</f>
        <v>Education - Lecture theatre</v>
      </c>
      <c r="C21" s="574" t="str">
        <f>VLOOKUP(B21,'Activity database'!A:B,2,FALSE)</f>
        <v>Lecture theatre with permanent seating and/or stage used by lecturers and/or for staged performances.</v>
      </c>
      <c r="D21" s="575"/>
      <c r="E21" s="576"/>
      <c r="F21" s="218" t="s">
        <v>699</v>
      </c>
      <c r="G21" s="219"/>
      <c r="H21" s="418" t="str">
        <f>IF(AND(G21&gt;0,$B$13=$R$135),"&lt; Please delete the figure from this cell","")</f>
        <v/>
      </c>
      <c r="I21" s="519"/>
      <c r="J21" s="519"/>
      <c r="K21" s="519"/>
      <c r="L21" s="519"/>
      <c r="M21" s="519"/>
      <c r="N21" s="519"/>
      <c r="O21" s="519"/>
      <c r="P21" s="87"/>
      <c r="Q21" s="87"/>
      <c r="R21" s="87"/>
      <c r="S21" s="117"/>
      <c r="T21" s="117"/>
      <c r="U21" s="117"/>
      <c r="V21" s="117"/>
      <c r="W21" s="117"/>
      <c r="X21" s="87"/>
      <c r="Y21" s="117"/>
      <c r="Z21" s="117"/>
      <c r="AA21" s="117"/>
      <c r="AC21" s="117"/>
      <c r="AN21" s="117"/>
    </row>
    <row r="22" spans="1:40" ht="40" customHeight="1" x14ac:dyDescent="0.3">
      <c r="A22" s="293" t="str">
        <f>IF(B13=Q130,"",IF(B13=R135,"",IF(F22=$Q$130,"&gt;",IF(AND(F22=$Q$131,G22=""),"&gt;",""))))</f>
        <v>&gt;</v>
      </c>
      <c r="B22" s="235" t="str">
        <f>'Activity database'!A27</f>
        <v>Education - Study area</v>
      </c>
      <c r="C22" s="564" t="str">
        <f>VLOOKUP(B22,'Activity database'!A:B,2,FALSE)</f>
        <v>Study/write-up area in sixth form, further and/or Higer Education colleges.</v>
      </c>
      <c r="D22" s="564"/>
      <c r="E22" s="564"/>
      <c r="F22" s="218" t="s">
        <v>699</v>
      </c>
      <c r="G22" s="219"/>
      <c r="H22" s="418" t="str">
        <f>IF(AND(G22&gt;0,$B$13=$R$135),"&lt; Please delete the figure from this cell","")</f>
        <v/>
      </c>
      <c r="I22" s="519"/>
      <c r="J22" s="519"/>
      <c r="K22" s="519"/>
      <c r="L22" s="519"/>
      <c r="M22" s="519"/>
      <c r="N22" s="519"/>
      <c r="O22" s="519"/>
      <c r="P22" s="87"/>
      <c r="Q22" s="87"/>
      <c r="R22" s="87"/>
      <c r="S22" s="117"/>
      <c r="T22" s="117"/>
      <c r="U22" s="117"/>
      <c r="V22" s="117"/>
      <c r="W22" s="117"/>
      <c r="X22" s="87"/>
      <c r="Y22" s="117"/>
      <c r="Z22" s="117"/>
      <c r="AA22" s="117"/>
      <c r="AC22" s="117"/>
      <c r="AN22" s="117"/>
    </row>
    <row r="23" spans="1:40" ht="40" customHeight="1" x14ac:dyDescent="0.3">
      <c r="A23" s="293" t="str">
        <f>IF(B13=Q130,"",IF(B13=R135,"",IF(F23=$Q$130,"&gt;",IF(AND(F23=$Q$131,G23=""),"&gt;",""))))</f>
        <v>&gt;</v>
      </c>
      <c r="B23" s="235" t="str">
        <f>'Activity database'!A28</f>
        <v>Education - Workshop</v>
      </c>
      <c r="C23" s="564" t="str">
        <f>VLOOKUP(B23,'Activity database'!A:B,2,FALSE)</f>
        <v>Small scale workshop type space used for practical/vocational demonstrations/learning.</v>
      </c>
      <c r="D23" s="564"/>
      <c r="E23" s="564"/>
      <c r="F23" s="218" t="s">
        <v>699</v>
      </c>
      <c r="G23" s="219"/>
      <c r="H23" s="418" t="str">
        <f>IF(AND(G23&gt;0,$B$13=$R$135),"&lt; Please delete the figure from this cell","")</f>
        <v/>
      </c>
      <c r="I23" s="519"/>
      <c r="J23" s="519"/>
      <c r="K23" s="519"/>
      <c r="L23" s="519"/>
      <c r="M23" s="519"/>
      <c r="N23" s="519"/>
      <c r="O23" s="519"/>
      <c r="P23" s="87"/>
      <c r="Q23" s="87"/>
      <c r="R23" s="87"/>
      <c r="S23" s="117"/>
      <c r="T23" s="117"/>
      <c r="U23" s="117"/>
      <c r="V23" s="117"/>
      <c r="W23" s="117"/>
      <c r="X23" s="87"/>
      <c r="Y23" s="117"/>
      <c r="Z23" s="117"/>
      <c r="AA23" s="117"/>
      <c r="AC23" s="117"/>
      <c r="AN23" s="117"/>
    </row>
    <row r="24" spans="1:40" ht="40" customHeight="1" x14ac:dyDescent="0.3">
      <c r="A24" s="293" t="str">
        <f>IF(B13=Q130,"",IF(B13=R135,"",IF(F24=$Q$130,"&gt;",IF(AND(F24=$Q$131,G24=""),"&gt;",""))))</f>
        <v>&gt;</v>
      </c>
      <c r="B24" s="235" t="str">
        <f>'Activity database'!A29</f>
        <v>Education - Information Technology space</v>
      </c>
      <c r="C24" s="564" t="str">
        <f>VLOOKUP(B24,'Activity database'!A:B,2,FALSE)</f>
        <v>Laboratory/room containing I.T equipment and used for teaching/research related to information technology</v>
      </c>
      <c r="D24" s="564"/>
      <c r="E24" s="564"/>
      <c r="F24" s="218" t="s">
        <v>699</v>
      </c>
      <c r="G24" s="219"/>
      <c r="H24" s="418" t="str">
        <f>IF(AND(G24&gt;0,$B$13=$R$135),"&lt; Please delete the figure from this cell","")</f>
        <v/>
      </c>
      <c r="I24" s="519"/>
      <c r="J24" s="519"/>
      <c r="K24" s="519"/>
      <c r="L24" s="519"/>
      <c r="M24" s="519"/>
      <c r="N24" s="519"/>
      <c r="O24" s="519"/>
      <c r="P24" s="87"/>
      <c r="Q24" s="87"/>
      <c r="R24" s="87"/>
      <c r="S24" s="117"/>
      <c r="T24" s="117"/>
      <c r="U24" s="117"/>
      <c r="V24" s="117"/>
      <c r="W24" s="117"/>
      <c r="X24" s="87"/>
      <c r="Y24" s="117"/>
      <c r="Z24" s="117"/>
      <c r="AA24" s="117"/>
      <c r="AC24" s="117"/>
      <c r="AN24" s="117"/>
    </row>
    <row r="25" spans="1:40" ht="40" customHeight="1" x14ac:dyDescent="0.3">
      <c r="A25" s="293" t="str">
        <f>IF(B13=Q130,"",IF(B13=R135,"",IF(F25=$Q$130,"&gt;",IF(AND(F25=$Q$131,G25=""),"&gt;",""))))</f>
        <v>&gt;</v>
      </c>
      <c r="B25" s="235" t="str">
        <f>'Activity database'!A30</f>
        <v>Education - Laboratory</v>
      </c>
      <c r="C25" s="564" t="str">
        <f>VLOOKUP(B25,'Activity database'!A:B,2,FALSE)</f>
        <v>Laboratory space for teaching/learning related to science based subjects.</v>
      </c>
      <c r="D25" s="564"/>
      <c r="E25" s="564"/>
      <c r="F25" s="218" t="s">
        <v>699</v>
      </c>
      <c r="G25" s="219"/>
      <c r="H25" s="418" t="str">
        <f>IF(AND(G25&gt;0,$B$13=$R$135),"&lt; Please delete the figure from this cell","")</f>
        <v/>
      </c>
      <c r="I25" s="519"/>
      <c r="J25" s="519"/>
      <c r="K25" s="519"/>
      <c r="L25" s="519"/>
      <c r="M25" s="519"/>
      <c r="N25" s="519"/>
      <c r="O25" s="519"/>
      <c r="P25" s="87"/>
      <c r="Q25" s="87"/>
      <c r="R25" s="87"/>
      <c r="S25" s="117"/>
      <c r="T25" s="117"/>
      <c r="U25" s="117"/>
      <c r="V25" s="117"/>
      <c r="W25" s="117"/>
      <c r="X25" s="87"/>
      <c r="Y25" s="117"/>
      <c r="Z25" s="117"/>
      <c r="AA25" s="117"/>
      <c r="AC25" s="117"/>
      <c r="AN25" s="117"/>
    </row>
    <row r="26" spans="1:40" ht="25" customHeight="1" x14ac:dyDescent="0.3">
      <c r="A26" s="87"/>
      <c r="B26" s="270"/>
      <c r="C26" s="87"/>
      <c r="D26" s="87"/>
      <c r="E26" s="87"/>
      <c r="F26" s="87"/>
      <c r="G26" s="88"/>
      <c r="I26" s="117"/>
      <c r="J26" s="117"/>
      <c r="K26" s="117"/>
      <c r="L26" s="117"/>
      <c r="M26" s="117"/>
      <c r="N26" s="117"/>
      <c r="O26" s="117"/>
      <c r="P26" s="117"/>
      <c r="Q26" s="117"/>
      <c r="R26" s="117"/>
      <c r="S26" s="117"/>
      <c r="T26" s="87"/>
      <c r="U26" s="87"/>
      <c r="V26" s="87"/>
      <c r="W26" s="87"/>
      <c r="X26" s="157"/>
      <c r="Y26" s="127"/>
      <c r="Z26" s="127"/>
      <c r="AA26" s="127"/>
      <c r="AB26" s="127"/>
      <c r="AC26" s="117"/>
      <c r="AN26" s="117"/>
    </row>
    <row r="27" spans="1:40" ht="32.15" customHeight="1" x14ac:dyDescent="0.3">
      <c r="A27" s="87"/>
      <c r="B27" s="422" t="s">
        <v>711</v>
      </c>
      <c r="C27" s="422"/>
      <c r="D27" s="422"/>
      <c r="E27" s="422"/>
      <c r="F27" s="422"/>
      <c r="G27" s="422"/>
      <c r="I27" s="117"/>
      <c r="J27" s="117"/>
      <c r="K27" s="117"/>
      <c r="L27" s="117"/>
      <c r="M27" s="117"/>
      <c r="N27" s="117"/>
      <c r="O27" s="117"/>
      <c r="P27" s="117"/>
      <c r="Q27" s="117"/>
      <c r="R27" s="117"/>
      <c r="S27" s="117"/>
      <c r="T27" s="87"/>
      <c r="U27" s="87"/>
      <c r="V27" s="87"/>
      <c r="W27" s="87"/>
      <c r="X27" s="87"/>
      <c r="Y27" s="117"/>
      <c r="Z27" s="117"/>
      <c r="AA27" s="117"/>
      <c r="AC27" s="117"/>
      <c r="AN27" s="117"/>
    </row>
    <row r="28" spans="1:40" ht="25" customHeight="1" x14ac:dyDescent="0.3">
      <c r="A28" s="87"/>
      <c r="B28" s="268"/>
      <c r="C28" s="87"/>
      <c r="D28" s="87"/>
      <c r="E28" s="87"/>
      <c r="F28" s="87"/>
      <c r="G28" s="88"/>
      <c r="I28" s="117"/>
      <c r="J28" s="117"/>
      <c r="K28" s="117"/>
      <c r="L28" s="117"/>
      <c r="M28" s="117"/>
      <c r="N28" s="117"/>
      <c r="O28" s="117"/>
      <c r="P28" s="117"/>
      <c r="Q28" s="117"/>
      <c r="R28" s="117"/>
      <c r="S28" s="117"/>
      <c r="T28" s="87"/>
      <c r="U28" s="87"/>
      <c r="V28" s="87"/>
      <c r="W28" s="87"/>
      <c r="X28" s="87"/>
      <c r="Y28" s="87"/>
      <c r="Z28" s="87"/>
      <c r="AA28" s="87"/>
      <c r="AB28" s="87"/>
      <c r="AC28" s="117"/>
      <c r="AN28" s="117"/>
    </row>
    <row r="29" spans="1:40" ht="25" customHeight="1" x14ac:dyDescent="0.3">
      <c r="A29" s="87"/>
      <c r="B29" s="451" t="s">
        <v>712</v>
      </c>
      <c r="C29" s="444" t="s">
        <v>713</v>
      </c>
      <c r="D29" s="444" t="s">
        <v>714</v>
      </c>
      <c r="E29" s="444" t="s">
        <v>715</v>
      </c>
      <c r="F29" s="444" t="s">
        <v>716</v>
      </c>
      <c r="G29" s="444" t="s">
        <v>717</v>
      </c>
      <c r="I29" s="117"/>
      <c r="J29" s="117"/>
      <c r="K29" s="117"/>
      <c r="L29" s="117"/>
      <c r="M29" s="117"/>
      <c r="N29" s="112" t="s">
        <v>712</v>
      </c>
      <c r="O29" s="112" t="s">
        <v>718</v>
      </c>
      <c r="P29" s="112" t="s">
        <v>715</v>
      </c>
      <c r="Q29" s="112" t="s">
        <v>716</v>
      </c>
      <c r="R29" s="112" t="s">
        <v>719</v>
      </c>
      <c r="S29" s="117"/>
      <c r="T29" s="87"/>
      <c r="U29" s="87"/>
      <c r="V29" s="87"/>
      <c r="W29" s="87"/>
      <c r="X29" s="87"/>
      <c r="Y29" s="117"/>
      <c r="Z29" s="117"/>
      <c r="AA29" s="117"/>
      <c r="AC29" s="117"/>
      <c r="AN29" s="117"/>
    </row>
    <row r="30" spans="1:40" ht="15" customHeight="1" x14ac:dyDescent="0.3">
      <c r="A30" s="293" t="str">
        <f>IF(B30=$Q$130,"&gt;","")</f>
        <v>&gt;</v>
      </c>
      <c r="B30" s="220" t="s">
        <v>699</v>
      </c>
      <c r="C30" s="93" t="s">
        <v>720</v>
      </c>
      <c r="D30" s="221"/>
      <c r="E30" s="94" t="str">
        <f>IF(OR(B13=Q130,B30=Q130),Q138,IF(B30=R131,VLOOKUP($B$13,'Activity database'!$A:$AN,9,FALSE),IF(B30=R132,VLOOKUP($B$13,'Activity database'!$A:$BY,10,FALSE))))</f>
        <v>Requires building information</v>
      </c>
      <c r="F30" s="94">
        <f>IF(B13=Q130,Q138,VLOOKUP($B$13,'Activity database'!$A:$BY,27,FALSE))</f>
        <v>1</v>
      </c>
      <c r="G30" s="92" t="str">
        <f>IF(ISERROR((D30*E30*F30*(VLOOKUP(B13,'Activity database'!A:BA,7,FALSE)))),Q138,(D30*E30*F30*(VLOOKUP(B13,'Activity database'!A:BA,7,FALSE))))</f>
        <v>Requires building information</v>
      </c>
      <c r="H30" s="294" t="str">
        <f>IF(B30=R130,"Note: please seelct the relevant option for WC component opposite","")</f>
        <v>Note: please seelct the relevant option for WC component opposite</v>
      </c>
      <c r="I30" s="117"/>
      <c r="J30" s="117"/>
      <c r="K30" s="117"/>
      <c r="L30" s="117"/>
      <c r="M30" s="117"/>
      <c r="N30" s="169" t="str">
        <f>B30</f>
        <v>Please select</v>
      </c>
      <c r="O30" s="94">
        <f>IF($D$30="",0,VLOOKUP($N$30,'Activity database'!$AT:$BA,2,FALSE))</f>
        <v>0</v>
      </c>
      <c r="P30" s="94" t="str">
        <f>E30</f>
        <v>Requires building information</v>
      </c>
      <c r="Q30" s="94">
        <f>F30</f>
        <v>1</v>
      </c>
      <c r="R30" s="92">
        <f>IF($D$30="",0,O30*$P$30*$Q$30*(VLOOKUP($B$13,'Activity database'!$A:$BA,7,FALSE)))</f>
        <v>0</v>
      </c>
      <c r="S30" s="117"/>
      <c r="T30" s="87"/>
      <c r="U30" s="87"/>
      <c r="V30" s="87"/>
      <c r="W30" s="87"/>
      <c r="X30" s="87"/>
      <c r="Y30" s="117"/>
      <c r="Z30" s="117"/>
      <c r="AA30" s="117"/>
      <c r="AC30" s="117"/>
      <c r="AN30" s="117"/>
    </row>
    <row r="31" spans="1:40" ht="15" customHeight="1" x14ac:dyDescent="0.3">
      <c r="A31" s="87"/>
      <c r="B31" s="101" t="str">
        <f>'Activity database'!K3</f>
        <v>WC - female</v>
      </c>
      <c r="C31" s="93" t="s">
        <v>720</v>
      </c>
      <c r="D31" s="221"/>
      <c r="E31" s="94">
        <f>IF(B13=Q130,Q138,VLOOKUP($B$13,'Activity database'!$A:$BY,11,FALSE))</f>
        <v>4</v>
      </c>
      <c r="F31" s="94">
        <f>IF(B13=Q130,Q138,VLOOKUP($B$13,'Activity database'!$A:$BY,27,FALSE))</f>
        <v>1</v>
      </c>
      <c r="G31" s="92">
        <f>IF(B13=Q130,Q138,D31*E31*F31*(VLOOKUP(B13,'Activity database'!A:BA,8,FALSE)))</f>
        <v>0</v>
      </c>
      <c r="H31" s="544" t="s">
        <v>721</v>
      </c>
      <c r="I31" s="544"/>
      <c r="J31" s="544"/>
      <c r="K31" s="544"/>
      <c r="L31" s="544"/>
      <c r="M31" s="544"/>
      <c r="N31" s="239" t="str">
        <f>B31</f>
        <v>WC - female</v>
      </c>
      <c r="O31" s="94">
        <f>IF($D$31="",0,VLOOKUP($N$31,'Activity database'!$AT:$BA,2,FALSE))</f>
        <v>0</v>
      </c>
      <c r="P31" s="94">
        <f>E31</f>
        <v>4</v>
      </c>
      <c r="Q31" s="94">
        <f>F31</f>
        <v>1</v>
      </c>
      <c r="R31" s="92">
        <f>IF($D$31="",0,O31*$P$31*$Q$31*(VLOOKUP($B$13,'Activity database'!$A:$BA,8,FALSE)))</f>
        <v>0</v>
      </c>
      <c r="S31" s="117"/>
      <c r="T31" s="87"/>
      <c r="U31" s="87"/>
      <c r="V31" s="87"/>
      <c r="W31" s="87"/>
      <c r="X31" s="87"/>
      <c r="Y31" s="117"/>
      <c r="Z31" s="117"/>
      <c r="AA31" s="117"/>
      <c r="AC31" s="117"/>
      <c r="AN31" s="117"/>
    </row>
    <row r="32" spans="1:40" ht="12.75" customHeight="1" x14ac:dyDescent="0.3">
      <c r="A32" s="87"/>
      <c r="B32" s="87"/>
      <c r="C32" s="87"/>
      <c r="D32" s="87"/>
      <c r="E32" s="87"/>
      <c r="F32" s="87"/>
      <c r="G32" s="88"/>
      <c r="H32" s="544"/>
      <c r="I32" s="544"/>
      <c r="J32" s="544"/>
      <c r="K32" s="544"/>
      <c r="L32" s="544"/>
      <c r="M32" s="544"/>
      <c r="N32" s="117"/>
      <c r="O32" s="117"/>
      <c r="P32" s="117"/>
      <c r="Q32" s="117"/>
      <c r="R32" s="117"/>
      <c r="S32" s="117"/>
      <c r="T32" s="87"/>
      <c r="U32" s="87"/>
      <c r="V32" s="87"/>
      <c r="W32" s="87"/>
      <c r="X32" s="87"/>
      <c r="Y32" s="117"/>
      <c r="Z32" s="117"/>
      <c r="AA32" s="117"/>
      <c r="AC32" s="117"/>
      <c r="AN32" s="117"/>
    </row>
    <row r="33" spans="1:40" ht="25" customHeight="1" x14ac:dyDescent="0.3">
      <c r="A33" s="87"/>
      <c r="B33" s="451" t="s">
        <v>722</v>
      </c>
      <c r="C33" s="444" t="s">
        <v>713</v>
      </c>
      <c r="D33" s="444" t="s">
        <v>714</v>
      </c>
      <c r="E33" s="444" t="s">
        <v>723</v>
      </c>
      <c r="F33" s="444" t="s">
        <v>724</v>
      </c>
      <c r="G33" s="444" t="s">
        <v>717</v>
      </c>
      <c r="H33" s="544"/>
      <c r="I33" s="544"/>
      <c r="J33" s="544"/>
      <c r="K33" s="544"/>
      <c r="L33" s="544"/>
      <c r="M33" s="544"/>
      <c r="N33" s="272" t="s">
        <v>722</v>
      </c>
      <c r="O33" s="111" t="s">
        <v>718</v>
      </c>
      <c r="P33" s="111" t="s">
        <v>725</v>
      </c>
      <c r="Q33" s="111" t="s">
        <v>726</v>
      </c>
      <c r="R33" s="111" t="s">
        <v>719</v>
      </c>
      <c r="S33" s="117"/>
      <c r="T33" s="87"/>
      <c r="U33" s="87"/>
      <c r="V33" s="87"/>
      <c r="W33" s="87"/>
      <c r="X33" s="87"/>
      <c r="Y33" s="117"/>
      <c r="Z33" s="117"/>
      <c r="AA33" s="117"/>
      <c r="AC33" s="117"/>
      <c r="AN33" s="117"/>
    </row>
    <row r="34" spans="1:40" ht="15" customHeight="1" x14ac:dyDescent="0.3">
      <c r="A34" s="293" t="str">
        <f>IF(AND(D34&gt;0,OR(E34="",F34="")),"&gt;","")</f>
        <v/>
      </c>
      <c r="B34" s="551" t="s">
        <v>727</v>
      </c>
      <c r="C34" s="93" t="s">
        <v>728</v>
      </c>
      <c r="D34" s="221"/>
      <c r="E34" s="222">
        <v>1</v>
      </c>
      <c r="F34" s="222">
        <v>6</v>
      </c>
      <c r="G34" s="92">
        <f>IF(B13=Q130,Q138,IF(OR(D34=0,E34=0,F34=0,B30=R132),0,(D34*E34*F34*G13)/O142))</f>
        <v>0</v>
      </c>
      <c r="H34" s="129"/>
      <c r="I34" s="128"/>
      <c r="J34" s="128"/>
      <c r="K34" s="128"/>
      <c r="L34" s="128"/>
      <c r="N34" s="289" t="str">
        <f>B34</f>
        <v>Automatically operated flushing cistern</v>
      </c>
      <c r="O34" s="288">
        <f>IF($D$34=0,0,IF($D$35=1,'Activity database'!$AU$11,'Activity database'!$AU$10))</f>
        <v>0</v>
      </c>
      <c r="P34" s="90">
        <f>O34*$G$13</f>
        <v>0</v>
      </c>
      <c r="Q34" s="94">
        <f>P34*$D$35</f>
        <v>0</v>
      </c>
      <c r="R34" s="94" t="e">
        <f>IF(B30=R132,0,$Q$34/O142)</f>
        <v>#DIV/0!</v>
      </c>
      <c r="S34" s="117"/>
      <c r="T34" s="87"/>
      <c r="U34" s="87"/>
      <c r="V34" s="87"/>
      <c r="W34" s="87"/>
      <c r="X34" s="87"/>
      <c r="Y34" s="117"/>
      <c r="Z34" s="117"/>
      <c r="AA34" s="117"/>
      <c r="AC34" s="117"/>
      <c r="AN34" s="117"/>
    </row>
    <row r="35" spans="1:40" ht="15" customHeight="1" x14ac:dyDescent="0.3">
      <c r="A35" s="293" t="str">
        <f>IF(AND(D34&gt;0,D35=""),"&gt;","")</f>
        <v/>
      </c>
      <c r="B35" s="552"/>
      <c r="C35" s="93" t="s">
        <v>729</v>
      </c>
      <c r="D35" s="221"/>
      <c r="E35" s="87"/>
      <c r="F35" s="87"/>
      <c r="G35" s="87"/>
      <c r="I35" s="117"/>
      <c r="J35" s="117"/>
      <c r="K35" s="117"/>
      <c r="L35" s="117"/>
      <c r="M35" s="130"/>
      <c r="N35" s="87"/>
      <c r="O35" s="87"/>
      <c r="P35" s="87"/>
      <c r="Q35" s="87"/>
      <c r="R35" s="87"/>
      <c r="S35" s="117"/>
      <c r="T35" s="87"/>
      <c r="U35" s="87"/>
      <c r="V35" s="113"/>
      <c r="W35" s="87"/>
      <c r="X35" s="87"/>
      <c r="Y35" s="117"/>
      <c r="Z35" s="117"/>
      <c r="AA35" s="117"/>
      <c r="AC35" s="117"/>
      <c r="AN35" s="117"/>
    </row>
    <row r="36" spans="1:40" ht="25" customHeight="1" x14ac:dyDescent="0.3">
      <c r="A36" s="87"/>
      <c r="B36" s="451"/>
      <c r="C36" s="444" t="s">
        <v>713</v>
      </c>
      <c r="D36" s="444" t="s">
        <v>714</v>
      </c>
      <c r="E36" s="444" t="s">
        <v>715</v>
      </c>
      <c r="F36" s="444" t="s">
        <v>716</v>
      </c>
      <c r="G36" s="444" t="s">
        <v>717</v>
      </c>
      <c r="H36" s="129"/>
      <c r="I36" s="117"/>
      <c r="J36" s="117"/>
      <c r="K36" s="117"/>
      <c r="L36" s="117"/>
      <c r="M36" s="117"/>
      <c r="N36" s="272" t="s">
        <v>722</v>
      </c>
      <c r="O36" s="111" t="s">
        <v>718</v>
      </c>
      <c r="P36" s="111" t="s">
        <v>715</v>
      </c>
      <c r="Q36" s="111" t="s">
        <v>716</v>
      </c>
      <c r="R36" s="111" t="s">
        <v>719</v>
      </c>
      <c r="S36" s="117"/>
      <c r="T36" s="87"/>
      <c r="U36" s="87"/>
      <c r="V36" s="113"/>
      <c r="W36" s="87"/>
      <c r="X36" s="87"/>
      <c r="Y36" s="117"/>
      <c r="Z36" s="117"/>
      <c r="AA36" s="117"/>
      <c r="AC36" s="117"/>
      <c r="AN36" s="117"/>
    </row>
    <row r="37" spans="1:40" ht="15" customHeight="1" x14ac:dyDescent="0.3">
      <c r="A37" s="87"/>
      <c r="B37" s="551" t="s">
        <v>730</v>
      </c>
      <c r="C37" s="93" t="s">
        <v>731</v>
      </c>
      <c r="D37" s="222"/>
      <c r="E37" s="94">
        <f>IF(B13=Q130,Q138,VLOOKUP($B$13,'Activity database'!$A:$AN,12,FALSE))</f>
        <v>3</v>
      </c>
      <c r="F37" s="94">
        <f>IF(B13=Q130,Q138,VLOOKUP($B$13,'Activity database'!$A:$AN,28,FALSE))</f>
        <v>1</v>
      </c>
      <c r="G37" s="92">
        <f>IF(B13=Q130,Q138,IF(OR(D37=0,E37=0,F37=0,B30=R132),0,(D37*E37*F37)*(VLOOKUP(B13,'Activity database'!A:BA,7,FALSE))*(D38/(D35+D38+D41))))</f>
        <v>0</v>
      </c>
      <c r="H37" s="544" t="str">
        <f>IF(B30=R132,"",N153)</f>
        <v>Note: This consumption total accounts for the ratio of male users for this building type i.e. the ratio of building users who will operate the flush. Where more than one type of urinal flushing control is specified in the building, this consumption figure is adjusted by a ratio of use. the ratio is determined according to the proportion of urinals bowls in the building operated using this type of control.</v>
      </c>
      <c r="I37" s="544"/>
      <c r="J37" s="544"/>
      <c r="K37" s="544"/>
      <c r="L37" s="544"/>
      <c r="M37" s="544"/>
      <c r="N37" s="287" t="str">
        <f>B37</f>
        <v>Manual/automatic operated pressure flushing valve (all activity areas)</v>
      </c>
      <c r="O37" s="90">
        <f>'Activity database'!$AU$12</f>
        <v>1.5</v>
      </c>
      <c r="P37" s="94">
        <f>E37</f>
        <v>3</v>
      </c>
      <c r="Q37" s="94">
        <f>F37</f>
        <v>1</v>
      </c>
      <c r="R37" s="94" t="e">
        <f>IF(B30=R132,0,IF($D$37="",0,$O$37*$P$37*$Q$37*(VLOOKUP(B13,'Activity database'!$A:$BA,7,FALSE)))*(D38/(D35+D38+D41)))</f>
        <v>#DIV/0!</v>
      </c>
      <c r="S37" s="117"/>
      <c r="T37" s="87"/>
      <c r="U37" s="87"/>
      <c r="V37" s="113"/>
      <c r="W37" s="87"/>
      <c r="X37" s="87"/>
      <c r="Y37" s="117"/>
      <c r="Z37" s="117"/>
      <c r="AA37" s="117"/>
      <c r="AC37" s="117"/>
      <c r="AN37" s="117"/>
    </row>
    <row r="38" spans="1:40" ht="15" customHeight="1" x14ac:dyDescent="0.3">
      <c r="A38" s="293" t="str">
        <f>IF(AND(D37&gt;0,D38=""),"&gt;","")</f>
        <v/>
      </c>
      <c r="B38" s="553"/>
      <c r="C38" s="95" t="s">
        <v>729</v>
      </c>
      <c r="D38" s="221"/>
      <c r="E38" s="87"/>
      <c r="F38" s="87"/>
      <c r="G38" s="87"/>
      <c r="H38" s="544"/>
      <c r="I38" s="544"/>
      <c r="J38" s="544"/>
      <c r="K38" s="544"/>
      <c r="L38" s="544"/>
      <c r="M38" s="544"/>
      <c r="N38" s="113"/>
      <c r="O38" s="280"/>
      <c r="P38" s="87"/>
      <c r="Q38" s="87"/>
      <c r="R38" s="87"/>
      <c r="S38" s="117"/>
      <c r="T38" s="87"/>
      <c r="U38" s="87"/>
      <c r="V38" s="87"/>
      <c r="W38" s="87"/>
      <c r="X38" s="87"/>
      <c r="Y38" s="117"/>
      <c r="Z38" s="117"/>
      <c r="AA38" s="117"/>
      <c r="AC38" s="117"/>
      <c r="AN38" s="117"/>
    </row>
    <row r="39" spans="1:40" ht="25" customHeight="1" x14ac:dyDescent="0.3">
      <c r="A39" s="87"/>
      <c r="B39" s="451"/>
      <c r="C39" s="444" t="s">
        <v>713</v>
      </c>
      <c r="D39" s="444" t="s">
        <v>714</v>
      </c>
      <c r="E39" s="444" t="s">
        <v>715</v>
      </c>
      <c r="F39" s="444" t="s">
        <v>716</v>
      </c>
      <c r="G39" s="444" t="s">
        <v>717</v>
      </c>
      <c r="H39" s="544"/>
      <c r="I39" s="544"/>
      <c r="J39" s="544"/>
      <c r="K39" s="544"/>
      <c r="L39" s="544"/>
      <c r="M39" s="544"/>
      <c r="N39" s="272" t="s">
        <v>722</v>
      </c>
      <c r="O39" s="111" t="s">
        <v>718</v>
      </c>
      <c r="P39" s="111" t="s">
        <v>715</v>
      </c>
      <c r="Q39" s="111" t="s">
        <v>716</v>
      </c>
      <c r="R39" s="111" t="s">
        <v>719</v>
      </c>
      <c r="S39" s="117"/>
      <c r="T39" s="87"/>
      <c r="U39" s="87"/>
      <c r="V39" s="87"/>
      <c r="W39" s="87"/>
      <c r="X39" s="87"/>
      <c r="Y39" s="117"/>
      <c r="Z39" s="117"/>
      <c r="AA39" s="117"/>
      <c r="AC39" s="117"/>
      <c r="AN39" s="117"/>
    </row>
    <row r="40" spans="1:40" ht="15" customHeight="1" x14ac:dyDescent="0.3">
      <c r="A40" s="293" t="str">
        <f>IF(B30=R132,"",IF(D40=$Q$130,"&gt;",""))</f>
        <v>&gt;</v>
      </c>
      <c r="B40" s="551" t="s">
        <v>732</v>
      </c>
      <c r="C40" s="93" t="s">
        <v>731</v>
      </c>
      <c r="D40" s="218" t="s">
        <v>699</v>
      </c>
      <c r="E40" s="94">
        <f>IF(B13=Q130,Q138,VLOOKUP($B$13,'Activity database'!$A:$AN,12,FALSE))</f>
        <v>3</v>
      </c>
      <c r="F40" s="94">
        <f>IF(B13=Q130,Q138,VLOOKUP($B$13,'Activity database'!$A:$AN,28,FALSE))</f>
        <v>1</v>
      </c>
      <c r="G40" s="92">
        <f>IF(B13=Q130,Q138,0)</f>
        <v>0</v>
      </c>
      <c r="H40" s="545" t="str">
        <f>IF(OR(B30=R132,B30=R130,D40=P132),"",IF(AND(D40=P131,D41&gt;0),N154,IF(OR(D40=R130,D40=P131),N155)))</f>
        <v/>
      </c>
      <c r="I40" s="545"/>
      <c r="J40" s="545"/>
      <c r="K40" s="545"/>
      <c r="L40" s="545"/>
      <c r="M40" s="545"/>
      <c r="N40" s="287" t="str">
        <f>B40</f>
        <v>Waterless urinals (all activity areas)</v>
      </c>
      <c r="O40" s="290">
        <f>'Activity database'!$AU$12</f>
        <v>1.5</v>
      </c>
      <c r="P40" s="94">
        <f>E40</f>
        <v>3</v>
      </c>
      <c r="Q40" s="94">
        <f>F40</f>
        <v>1</v>
      </c>
      <c r="R40" s="94" t="e">
        <f>IF(B30=R132,0,IF(OR($D$40="",$D$40=P130,$D$40=P132),0,$O$40*$P$40*$Q$40*(VLOOKUP(B13,'Activity database'!$A:$BA,7,FALSE)))*(D41/(D35+D38+D41)))</f>
        <v>#DIV/0!</v>
      </c>
      <c r="S40" s="117"/>
      <c r="T40" s="117"/>
      <c r="U40" s="117"/>
      <c r="V40" s="117"/>
      <c r="W40" s="117"/>
      <c r="X40" s="117"/>
      <c r="Y40" s="117"/>
      <c r="Z40" s="117"/>
      <c r="AA40" s="117"/>
      <c r="AC40" s="117"/>
      <c r="AN40" s="117"/>
    </row>
    <row r="41" spans="1:40" ht="15" customHeight="1" x14ac:dyDescent="0.3">
      <c r="A41" s="293" t="str">
        <f>IF(AND(D40=P131,D41=""),"&gt;","")</f>
        <v/>
      </c>
      <c r="B41" s="554"/>
      <c r="C41" s="95" t="s">
        <v>729</v>
      </c>
      <c r="D41" s="221"/>
      <c r="E41" s="87"/>
      <c r="F41" s="87"/>
      <c r="G41" s="87"/>
      <c r="H41" s="545"/>
      <c r="I41" s="545"/>
      <c r="J41" s="545"/>
      <c r="K41" s="545"/>
      <c r="L41" s="545"/>
      <c r="M41" s="545"/>
      <c r="N41" s="117"/>
      <c r="O41" s="117"/>
      <c r="P41" s="117"/>
      <c r="Q41" s="117"/>
      <c r="R41" s="117"/>
      <c r="S41" s="117"/>
      <c r="T41" s="87"/>
      <c r="U41" s="87"/>
      <c r="V41" s="87"/>
      <c r="W41" s="87"/>
      <c r="X41" s="87"/>
      <c r="Y41" s="87"/>
      <c r="Z41" s="87"/>
      <c r="AA41" s="87"/>
      <c r="AC41" s="117"/>
      <c r="AN41" s="117"/>
    </row>
    <row r="42" spans="1:40" ht="18" customHeight="1" x14ac:dyDescent="0.3">
      <c r="A42" s="87"/>
      <c r="B42" s="87"/>
      <c r="C42" s="87"/>
      <c r="D42" s="87"/>
      <c r="E42" s="87"/>
      <c r="F42" s="87"/>
      <c r="G42" s="88"/>
      <c r="H42" s="545"/>
      <c r="I42" s="545"/>
      <c r="J42" s="545"/>
      <c r="K42" s="545"/>
      <c r="L42" s="545"/>
      <c r="M42" s="545"/>
      <c r="N42" s="117"/>
      <c r="O42" s="87"/>
      <c r="P42" s="87"/>
      <c r="Q42" s="87"/>
      <c r="R42" s="87"/>
      <c r="S42" s="87"/>
      <c r="T42" s="87"/>
      <c r="U42" s="87"/>
      <c r="V42" s="87"/>
      <c r="W42" s="87"/>
      <c r="X42" s="87"/>
      <c r="Y42" s="87"/>
      <c r="Z42" s="87"/>
      <c r="AA42" s="87"/>
      <c r="AC42" s="117"/>
      <c r="AN42" s="117"/>
    </row>
    <row r="43" spans="1:40" ht="25" customHeight="1" x14ac:dyDescent="0.3">
      <c r="A43" s="87"/>
      <c r="B43" s="87"/>
      <c r="C43" s="444" t="s">
        <v>713</v>
      </c>
      <c r="D43" s="444" t="s">
        <v>714</v>
      </c>
      <c r="E43" s="444" t="s">
        <v>715</v>
      </c>
      <c r="F43" s="444" t="s">
        <v>716</v>
      </c>
      <c r="G43" s="444" t="s">
        <v>717</v>
      </c>
      <c r="I43" s="87"/>
      <c r="J43" s="117"/>
      <c r="K43" s="117"/>
      <c r="L43" s="117"/>
      <c r="M43" s="117"/>
      <c r="N43" s="117"/>
      <c r="O43" s="87"/>
      <c r="P43" s="87"/>
      <c r="Q43" s="87"/>
      <c r="R43" s="87"/>
      <c r="S43" s="87"/>
      <c r="T43" s="87"/>
      <c r="U43" s="87"/>
      <c r="V43" s="87"/>
      <c r="W43" s="87"/>
      <c r="X43" s="87"/>
      <c r="Y43" s="87"/>
      <c r="Z43" s="87"/>
      <c r="AA43" s="87"/>
      <c r="AC43" s="117"/>
      <c r="AN43" s="117"/>
    </row>
    <row r="44" spans="1:40" ht="25" customHeight="1" x14ac:dyDescent="0.3">
      <c r="A44" s="87"/>
      <c r="B44" s="454" t="s">
        <v>733</v>
      </c>
      <c r="C44" s="452"/>
      <c r="D44" s="452"/>
      <c r="E44" s="452"/>
      <c r="F44" s="452"/>
      <c r="G44" s="453"/>
      <c r="I44" s="87"/>
      <c r="J44" s="117"/>
      <c r="K44" s="117"/>
      <c r="L44" s="117"/>
      <c r="M44" s="117"/>
      <c r="N44" s="116" t="s">
        <v>733</v>
      </c>
      <c r="O44" s="284" t="s">
        <v>734</v>
      </c>
      <c r="P44" s="284" t="s">
        <v>715</v>
      </c>
      <c r="Q44" s="284" t="s">
        <v>716</v>
      </c>
      <c r="R44" s="112" t="s">
        <v>719</v>
      </c>
      <c r="S44" s="117"/>
      <c r="T44" s="87"/>
      <c r="U44" s="87"/>
      <c r="V44" s="87"/>
      <c r="W44" s="87"/>
      <c r="X44" s="87"/>
      <c r="Y44" s="87"/>
      <c r="Z44" s="87"/>
      <c r="AA44" s="87"/>
      <c r="AC44" s="117"/>
      <c r="AN44" s="117"/>
    </row>
    <row r="45" spans="1:40" ht="15" customHeight="1" x14ac:dyDescent="0.3">
      <c r="A45" s="87"/>
      <c r="B45" s="166" t="str">
        <f>'Activity database'!M3</f>
        <v>Wash hand basin taps</v>
      </c>
      <c r="C45" s="94" t="s">
        <v>735</v>
      </c>
      <c r="D45" s="221"/>
      <c r="E45" s="94">
        <f>IF(B13=Q130,Q138,VLOOKUP($B$13,'Activity database'!$A:$AN,13,FALSE))</f>
        <v>4</v>
      </c>
      <c r="F45" s="94">
        <f>IF(B13=Q130,Q138,VLOOKUP($B$13,'Activity database'!$A:$AN,29,FALSE))</f>
        <v>0.25</v>
      </c>
      <c r="G45" s="92">
        <f>IF(B13=Q130,Q138,(D45*E45*F45)*VLOOKUP(B13,'Activity database'!A:AR,44,FALSE))</f>
        <v>0</v>
      </c>
      <c r="I45" s="117"/>
      <c r="J45" s="117"/>
      <c r="K45" s="117"/>
      <c r="L45" s="117"/>
      <c r="M45" s="117"/>
      <c r="N45" s="277" t="str">
        <f t="shared" ref="N45:N50" si="0">B45</f>
        <v>Wash hand basin taps</v>
      </c>
      <c r="O45" s="278">
        <f>IF($D$45="",0,VLOOKUP($N$45,'Activity database'!$AT:$BA,2,FALSE))</f>
        <v>0</v>
      </c>
      <c r="P45" s="278">
        <f t="shared" ref="P45:Q49" si="1">E45</f>
        <v>4</v>
      </c>
      <c r="Q45" s="278">
        <f t="shared" si="1"/>
        <v>0.25</v>
      </c>
      <c r="R45" s="94">
        <f>IF($D$45="",0,(O45*$P$45*$Q$45)*(VLOOKUP($B$13,'Activity database'!$A:$AR,44,FALSE)))</f>
        <v>0</v>
      </c>
      <c r="S45" s="117"/>
      <c r="T45" s="87"/>
      <c r="U45" s="87"/>
      <c r="V45" s="87"/>
      <c r="W45" s="87"/>
      <c r="X45" s="87"/>
      <c r="Y45" s="87"/>
      <c r="Z45" s="87"/>
      <c r="AA45" s="87"/>
      <c r="AC45" s="117"/>
      <c r="AN45" s="117"/>
    </row>
    <row r="46" spans="1:40" ht="15" customHeight="1" x14ac:dyDescent="0.3">
      <c r="A46" s="293"/>
      <c r="B46" s="103" t="str">
        <f>'Activity database'!N3</f>
        <v>Shower use</v>
      </c>
      <c r="C46" s="94" t="s">
        <v>735</v>
      </c>
      <c r="D46" s="221"/>
      <c r="E46" s="104">
        <f>IF(B13=Q130,Q138,VLOOKUP($B$13,'Activity database'!$A:$AN,14,FALSE))</f>
        <v>0.03</v>
      </c>
      <c r="F46" s="94">
        <f>IF(B13=Q130,Q138,VLOOKUP($B$13,'Activity database'!$A:$AN,30,FALSE))</f>
        <v>5.6</v>
      </c>
      <c r="G46" s="92">
        <f>IF(B13=Q130,Q138,IF(B46=Q130,Q138,D46*E46*F46))</f>
        <v>0</v>
      </c>
      <c r="I46" s="117"/>
      <c r="J46" s="117"/>
      <c r="K46" s="117"/>
      <c r="L46" s="117"/>
      <c r="M46" s="117"/>
      <c r="N46" s="96" t="str">
        <f t="shared" si="0"/>
        <v>Shower use</v>
      </c>
      <c r="O46" s="97">
        <f>IF($D$46="",0,'Activity database'!AU8)</f>
        <v>0</v>
      </c>
      <c r="P46" s="98">
        <f t="shared" si="1"/>
        <v>0.03</v>
      </c>
      <c r="Q46" s="98">
        <f t="shared" si="1"/>
        <v>5.6</v>
      </c>
      <c r="R46" s="94">
        <f>IF($D$46="",0,O46*$P$46*$Q$46)</f>
        <v>0</v>
      </c>
      <c r="S46" s="117"/>
      <c r="T46" s="87"/>
      <c r="U46" s="87"/>
      <c r="V46" s="87"/>
      <c r="W46" s="87"/>
      <c r="X46" s="87"/>
      <c r="Y46" s="87"/>
      <c r="Z46" s="87"/>
      <c r="AA46" s="87"/>
      <c r="AC46" s="117"/>
      <c r="AN46" s="117"/>
    </row>
    <row r="47" spans="1:40" ht="15" hidden="1" customHeight="1" x14ac:dyDescent="0.3">
      <c r="A47" s="246" t="s">
        <v>849</v>
      </c>
      <c r="B47" s="96" t="str">
        <f>'Activity database'!O3</f>
        <v>Shower use (bath present)</v>
      </c>
      <c r="C47" s="97" t="s">
        <v>735</v>
      </c>
      <c r="D47" s="216"/>
      <c r="E47" s="97" t="str">
        <f>VLOOKUP($B$13,'Activity database'!$A:$AN,15,FALSE)</f>
        <v>N/A</v>
      </c>
      <c r="F47" s="97">
        <f>VLOOKUP($B$13,'Activity database'!$A:$AN,31,FALSE)</f>
        <v>4.37</v>
      </c>
      <c r="G47" s="92">
        <f>IF(E47="N/A",0,D47*E47*F47)</f>
        <v>0</v>
      </c>
      <c r="H47" s="419" t="s">
        <v>849</v>
      </c>
      <c r="I47" s="117"/>
      <c r="J47" s="117"/>
      <c r="K47" s="117"/>
      <c r="L47" s="117"/>
      <c r="M47" s="117"/>
      <c r="N47" s="96" t="str">
        <f t="shared" si="0"/>
        <v>Shower use (bath present)</v>
      </c>
      <c r="O47" s="97">
        <f>IF($D$47="",0,'Activity database'!AU8)</f>
        <v>0</v>
      </c>
      <c r="P47" s="98" t="str">
        <f t="shared" si="1"/>
        <v>N/A</v>
      </c>
      <c r="Q47" s="98">
        <f t="shared" si="1"/>
        <v>4.37</v>
      </c>
      <c r="R47" s="94">
        <f>IF($D$47="",0,O47*$P$47*$Q$47)</f>
        <v>0</v>
      </c>
      <c r="S47" s="117"/>
      <c r="T47" s="87"/>
      <c r="U47" s="87"/>
      <c r="V47" s="87"/>
      <c r="W47" s="87"/>
      <c r="X47" s="87"/>
      <c r="Y47" s="87"/>
      <c r="Z47" s="87"/>
      <c r="AA47" s="87"/>
      <c r="AC47" s="117"/>
      <c r="AN47" s="117"/>
    </row>
    <row r="48" spans="1:40" ht="15" hidden="1" customHeight="1" x14ac:dyDescent="0.3">
      <c r="A48" s="246" t="s">
        <v>849</v>
      </c>
      <c r="B48" s="96" t="str">
        <f>'Activity database'!P3</f>
        <v xml:space="preserve">Bath use (no shower present) </v>
      </c>
      <c r="C48" s="97" t="s">
        <v>737</v>
      </c>
      <c r="D48" s="216"/>
      <c r="E48" s="97" t="str">
        <f>VLOOKUP($B$13,'Activity database'!$A:$AN,16,FALSE)</f>
        <v>N/A</v>
      </c>
      <c r="F48" s="97">
        <f>VLOOKUP($B$13,'Activity database'!$A:$AN,32,FALSE)</f>
        <v>1</v>
      </c>
      <c r="G48" s="92">
        <f>IF(E48="n/a",0,((D48*E48*F48)*'Activity database'!AQ4))</f>
        <v>0</v>
      </c>
      <c r="H48" s="419" t="s">
        <v>849</v>
      </c>
      <c r="I48" s="117"/>
      <c r="J48" s="117"/>
      <c r="K48" s="117"/>
      <c r="L48" s="117"/>
      <c r="M48" s="117"/>
      <c r="N48" s="96" t="str">
        <f t="shared" si="0"/>
        <v xml:space="preserve">Bath use (no shower present) </v>
      </c>
      <c r="O48" s="97">
        <f>IF($D$48="",0,'Activity database'!AU9)</f>
        <v>0</v>
      </c>
      <c r="P48" s="97" t="str">
        <f t="shared" si="1"/>
        <v>N/A</v>
      </c>
      <c r="Q48" s="97">
        <f t="shared" si="1"/>
        <v>1</v>
      </c>
      <c r="R48" s="94">
        <f>IF($D$48="",0,((O48*$P$48*$Q$48)*(VLOOKUP($B$13,'Activity database'!$A:$AR,43,FALSE))))</f>
        <v>0</v>
      </c>
      <c r="S48" s="117"/>
      <c r="T48" s="87"/>
      <c r="U48" s="87"/>
      <c r="V48" s="87"/>
      <c r="W48" s="87"/>
      <c r="X48" s="87"/>
      <c r="Y48" s="87"/>
      <c r="Z48" s="87"/>
      <c r="AA48" s="87"/>
      <c r="AC48" s="117"/>
      <c r="AN48" s="117"/>
    </row>
    <row r="49" spans="1:40" ht="15" hidden="1" customHeight="1" x14ac:dyDescent="0.3">
      <c r="A49" s="246" t="s">
        <v>849</v>
      </c>
      <c r="B49" s="96" t="str">
        <f>'Activity database'!Q3</f>
        <v>Bath use (shower present)</v>
      </c>
      <c r="C49" s="97" t="s">
        <v>737</v>
      </c>
      <c r="D49" s="216"/>
      <c r="E49" s="97" t="str">
        <f>VLOOKUP($B$13,'Activity database'!$A:$AN,17,FALSE)</f>
        <v>N/A</v>
      </c>
      <c r="F49" s="97">
        <f>VLOOKUP($B$13,'Activity database'!$A:$AN,33,FALSE)</f>
        <v>1</v>
      </c>
      <c r="G49" s="92">
        <f>IF(E49="n/a",0,((D49*E49*F49)*'Activity database'!AQ4))</f>
        <v>0</v>
      </c>
      <c r="H49" s="419" t="s">
        <v>849</v>
      </c>
      <c r="I49" s="117"/>
      <c r="J49" s="117"/>
      <c r="K49" s="117"/>
      <c r="L49" s="117"/>
      <c r="M49" s="117"/>
      <c r="N49" s="96" t="str">
        <f t="shared" si="0"/>
        <v>Bath use (shower present)</v>
      </c>
      <c r="O49" s="97">
        <f>IF($D$49="",0,'Activity database'!AU9)</f>
        <v>0</v>
      </c>
      <c r="P49" s="97" t="str">
        <f t="shared" si="1"/>
        <v>N/A</v>
      </c>
      <c r="Q49" s="97">
        <f t="shared" si="1"/>
        <v>1</v>
      </c>
      <c r="R49" s="94">
        <f>IF($D$49="",0,((O49*$P$49*$Q$49)*(VLOOKUP($B$13,'Activity database'!$A:$AR,43,FALSE))))</f>
        <v>0</v>
      </c>
      <c r="S49" s="117"/>
      <c r="T49" s="87"/>
      <c r="U49" s="87"/>
      <c r="V49" s="87"/>
      <c r="W49" s="87"/>
      <c r="X49" s="87"/>
      <c r="Y49" s="87"/>
      <c r="Z49" s="87"/>
      <c r="AA49" s="87"/>
      <c r="AC49" s="117"/>
      <c r="AN49" s="117"/>
    </row>
    <row r="50" spans="1:40" ht="15" customHeight="1" x14ac:dyDescent="0.3">
      <c r="A50" s="87"/>
      <c r="B50" s="162" t="str">
        <f>'Activity database'!X3</f>
        <v>Fixed use - vessel filling</v>
      </c>
      <c r="C50" s="163" t="s">
        <v>738</v>
      </c>
      <c r="D50" s="163" t="s">
        <v>515</v>
      </c>
      <c r="E50" s="164" t="s">
        <v>515</v>
      </c>
      <c r="F50" s="163" t="s">
        <v>515</v>
      </c>
      <c r="G50" s="165" t="str">
        <f>IF(B13=Q130,Q138,IF(F20=Q131,'Activity database'!X25+VLOOKUP(B13,'Activity database'!A:BA,24,FALSE),IF(F20=Q132,VLOOKUP(B13,'Activity database'!A:BA,24,FALSE),Q138)))</f>
        <v>Requires building information</v>
      </c>
      <c r="H50" s="560"/>
      <c r="I50" s="544"/>
      <c r="J50" s="544"/>
      <c r="K50" s="544"/>
      <c r="L50" s="544"/>
      <c r="M50" s="544"/>
      <c r="N50" s="96" t="str">
        <f t="shared" si="0"/>
        <v>Fixed use - vessel filling</v>
      </c>
      <c r="O50" s="97" t="s">
        <v>517</v>
      </c>
      <c r="P50" s="97" t="s">
        <v>517</v>
      </c>
      <c r="Q50" s="97" t="s">
        <v>517</v>
      </c>
      <c r="R50" s="94">
        <f>IF(G50=Q138,0,G50)</f>
        <v>0</v>
      </c>
      <c r="S50" s="117"/>
      <c r="T50" s="87"/>
      <c r="U50" s="87"/>
      <c r="V50" s="87"/>
      <c r="W50" s="87"/>
      <c r="X50" s="87"/>
      <c r="Y50" s="87"/>
      <c r="Z50" s="87"/>
      <c r="AA50" s="87"/>
      <c r="AC50" s="117"/>
      <c r="AN50" s="117"/>
    </row>
    <row r="51" spans="1:40" ht="25" customHeight="1" x14ac:dyDescent="0.3">
      <c r="A51" s="87"/>
      <c r="B51" s="454" t="s">
        <v>739</v>
      </c>
      <c r="C51" s="452"/>
      <c r="D51" s="452"/>
      <c r="E51" s="452"/>
      <c r="F51" s="452"/>
      <c r="G51" s="453"/>
      <c r="H51" s="560"/>
      <c r="I51" s="544"/>
      <c r="J51" s="544"/>
      <c r="K51" s="544"/>
      <c r="L51" s="544"/>
      <c r="M51" s="544"/>
      <c r="N51" s="116" t="s">
        <v>739</v>
      </c>
      <c r="O51" s="281"/>
      <c r="P51" s="281"/>
      <c r="Q51" s="281"/>
      <c r="R51" s="282"/>
      <c r="S51" s="117"/>
      <c r="T51" s="87"/>
      <c r="U51" s="87"/>
      <c r="V51" s="87"/>
      <c r="W51" s="87"/>
      <c r="X51" s="87"/>
      <c r="Y51" s="87"/>
      <c r="Z51" s="87"/>
      <c r="AA51" s="87"/>
      <c r="AC51" s="117"/>
      <c r="AN51" s="117"/>
    </row>
    <row r="52" spans="1:40" ht="15" customHeight="1" x14ac:dyDescent="0.3">
      <c r="A52" s="87"/>
      <c r="B52" s="166" t="str">
        <f>'Activity database'!R3</f>
        <v>Kitchen taps - kitchenette</v>
      </c>
      <c r="C52" s="167" t="s">
        <v>735</v>
      </c>
      <c r="D52" s="223"/>
      <c r="E52" s="297">
        <f>IF(B13=Q130,Q138,VLOOKUP($B$13,'Activity database'!$A:$AN,18,FALSE))</f>
        <v>6.0999999999999999E-2</v>
      </c>
      <c r="F52" s="167">
        <f>VLOOKUP($B$17,'Activity database'!$A:$AN,34,FALSE)</f>
        <v>0.67</v>
      </c>
      <c r="G52" s="168">
        <f>IF(B13=Q130,Q138,(D52*E52*F52)*(VLOOKUP(B13,'Activity database'!A:AR,44,FALSE)))</f>
        <v>0</v>
      </c>
      <c r="I52" s="117"/>
      <c r="J52" s="117"/>
      <c r="K52" s="117"/>
      <c r="L52" s="117"/>
      <c r="M52" s="117"/>
      <c r="N52" s="96" t="str">
        <f>B52</f>
        <v>Kitchen taps - kitchenette</v>
      </c>
      <c r="O52" s="97">
        <f>IF($D$52="",0,VLOOKUP($N$52,'Activity database'!$AT:$BA,2,FALSE))</f>
        <v>0</v>
      </c>
      <c r="P52" s="97">
        <f>E52</f>
        <v>6.0999999999999999E-2</v>
      </c>
      <c r="Q52" s="97">
        <f>F52</f>
        <v>0.67</v>
      </c>
      <c r="R52" s="94">
        <f>IF($D$52="",0,(O52*$P$52*$Q$52)*(VLOOKUP($B$13,'Activity database'!$A:$AR,44,FALSE)))</f>
        <v>0</v>
      </c>
      <c r="S52" s="117"/>
      <c r="T52" s="87"/>
      <c r="U52" s="87"/>
      <c r="V52" s="87"/>
      <c r="W52" s="87"/>
      <c r="X52" s="87"/>
      <c r="Y52" s="87"/>
      <c r="Z52" s="87"/>
      <c r="AA52" s="87"/>
      <c r="AC52" s="117"/>
      <c r="AN52" s="117"/>
    </row>
    <row r="53" spans="1:40" ht="15" customHeight="1" x14ac:dyDescent="0.3">
      <c r="A53" s="87"/>
      <c r="B53" s="103" t="str">
        <f>'Activity database'!U3</f>
        <v>Dishwasher</v>
      </c>
      <c r="C53" s="94" t="s">
        <v>740</v>
      </c>
      <c r="D53" s="224"/>
      <c r="E53" s="296">
        <f>IF(B13=Q130,Q138,VLOOKUP($B$17,'Activity database'!$A:$AN,21,FALSE))</f>
        <v>2.5000000000000001E-3</v>
      </c>
      <c r="F53" s="97">
        <f>VLOOKUP($B$17,'Activity database'!$A:$AN,37,FALSE)</f>
        <v>1</v>
      </c>
      <c r="G53" s="94">
        <f>IF(B13=Q130,Q138,D53*E53*F53)</f>
        <v>0</v>
      </c>
      <c r="I53" s="117"/>
      <c r="J53" s="117"/>
      <c r="K53" s="117"/>
      <c r="L53" s="117"/>
      <c r="M53" s="117"/>
      <c r="N53" s="96" t="str">
        <f>B53</f>
        <v>Dishwasher</v>
      </c>
      <c r="O53" s="97">
        <f>IF($D$53="",0,'Activity database'!AU16)</f>
        <v>0</v>
      </c>
      <c r="P53" s="97">
        <f>E53</f>
        <v>2.5000000000000001E-3</v>
      </c>
      <c r="Q53" s="97">
        <f>F53</f>
        <v>1</v>
      </c>
      <c r="R53" s="94">
        <f>O53*$P$53*$Q$53</f>
        <v>0</v>
      </c>
      <c r="S53" s="117"/>
      <c r="T53" s="87"/>
      <c r="U53" s="87"/>
      <c r="V53" s="87"/>
      <c r="W53" s="87"/>
      <c r="X53" s="87"/>
      <c r="Y53" s="87"/>
      <c r="Z53" s="87"/>
      <c r="AA53" s="87"/>
      <c r="AC53" s="117"/>
      <c r="AN53" s="117"/>
    </row>
    <row r="54" spans="1:40" ht="25" customHeight="1" x14ac:dyDescent="0.3">
      <c r="A54" s="87"/>
      <c r="B54" s="446" t="s">
        <v>850</v>
      </c>
      <c r="C54" s="452"/>
      <c r="D54" s="452"/>
      <c r="E54" s="452"/>
      <c r="F54" s="452"/>
      <c r="G54" s="453"/>
      <c r="I54" s="117"/>
      <c r="J54" s="117"/>
      <c r="K54" s="117"/>
      <c r="L54" s="117"/>
      <c r="M54" s="117"/>
      <c r="N54" s="116" t="s">
        <v>832</v>
      </c>
      <c r="O54" s="281"/>
      <c r="P54" s="281"/>
      <c r="Q54" s="281"/>
      <c r="R54" s="282"/>
      <c r="S54" s="117"/>
      <c r="T54" s="87"/>
      <c r="U54" s="87"/>
      <c r="V54" s="87"/>
      <c r="W54" s="87"/>
      <c r="X54" s="87"/>
      <c r="Y54" s="87"/>
      <c r="Z54" s="87"/>
      <c r="AA54" s="87"/>
      <c r="AC54" s="117"/>
      <c r="AN54" s="117"/>
    </row>
    <row r="55" spans="1:40" ht="15" customHeight="1" x14ac:dyDescent="0.3">
      <c r="A55" s="87"/>
      <c r="B55" s="103" t="str">
        <f>'Activity database'!S3</f>
        <v>Kitchen taps - pre-rinse nozzle</v>
      </c>
      <c r="C55" s="102" t="s">
        <v>735</v>
      </c>
      <c r="D55" s="224"/>
      <c r="E55" s="97" t="s">
        <v>515</v>
      </c>
      <c r="F55" s="97">
        <f>VLOOKUP($B$19,'Activity database'!A:BO,35,FALSE)</f>
        <v>60</v>
      </c>
      <c r="G55" s="94" t="str">
        <f>IF(ISERROR((D55*F55)/O142),Q138,((D55*F55)/O142))</f>
        <v>Requires building information</v>
      </c>
      <c r="I55" s="117"/>
      <c r="J55" s="117"/>
      <c r="K55" s="117"/>
      <c r="L55" s="117"/>
      <c r="M55" s="117"/>
      <c r="N55" s="96" t="str">
        <f t="shared" ref="N55:N60" si="2">B55</f>
        <v>Kitchen taps - pre-rinse nozzle</v>
      </c>
      <c r="O55" s="97">
        <f>IF($D$55="",0,VLOOKUP($N$55,'Activity database'!$AT:$BA,2,FALSE))</f>
        <v>0</v>
      </c>
      <c r="P55" s="97" t="str">
        <f t="shared" ref="P55:Q58" si="3">E55</f>
        <v>-</v>
      </c>
      <c r="Q55" s="97">
        <f t="shared" si="3"/>
        <v>60</v>
      </c>
      <c r="R55" s="94">
        <f>IF($D$55="",0,(O55*$Q$55)/$O$142)</f>
        <v>0</v>
      </c>
      <c r="S55" s="117"/>
      <c r="T55" s="87"/>
      <c r="U55" s="87"/>
      <c r="V55" s="87"/>
      <c r="W55" s="87"/>
      <c r="X55" s="87"/>
      <c r="Y55" s="87"/>
      <c r="Z55" s="87"/>
      <c r="AA55" s="87"/>
      <c r="AC55" s="117"/>
      <c r="AN55" s="117"/>
    </row>
    <row r="56" spans="1:40" ht="15" customHeight="1" x14ac:dyDescent="0.3">
      <c r="A56" s="87"/>
      <c r="B56" s="103" t="str">
        <f>'Activity database'!U3</f>
        <v>Dishwasher</v>
      </c>
      <c r="C56" s="102" t="s">
        <v>742</v>
      </c>
      <c r="D56" s="224"/>
      <c r="E56" s="97" t="s">
        <v>515</v>
      </c>
      <c r="F56" s="98">
        <f>VLOOKUP($B$19,'Activity database'!A:BO,37,FALSE)</f>
        <v>0.248</v>
      </c>
      <c r="G56" s="94" t="str">
        <f>IF(ISERROR((F56*G19*D56)/O142),Q138,((F56*G19*D56)/O142))</f>
        <v>Requires building information</v>
      </c>
      <c r="I56" s="117"/>
      <c r="J56" s="117"/>
      <c r="K56" s="117"/>
      <c r="L56" s="117"/>
      <c r="M56" s="117"/>
      <c r="N56" s="96" t="str">
        <f t="shared" si="2"/>
        <v>Dishwasher</v>
      </c>
      <c r="O56" s="97">
        <f>IF($D$56="",0,'Activity database'!AU19)</f>
        <v>0</v>
      </c>
      <c r="P56" s="97" t="str">
        <f t="shared" si="3"/>
        <v>-</v>
      </c>
      <c r="Q56" s="97">
        <f t="shared" si="3"/>
        <v>0.248</v>
      </c>
      <c r="R56" s="94">
        <f>IF($D$56="",0,($Q$56*$G$19*O56)/$O$142)</f>
        <v>0</v>
      </c>
      <c r="S56" s="117"/>
      <c r="T56" s="87"/>
      <c r="U56" s="87"/>
      <c r="V56" s="87"/>
      <c r="W56" s="87"/>
      <c r="X56" s="87"/>
      <c r="Y56" s="87"/>
      <c r="Z56" s="87"/>
      <c r="AA56" s="87"/>
      <c r="AC56" s="117"/>
      <c r="AN56" s="117"/>
    </row>
    <row r="57" spans="1:40" ht="15" customHeight="1" x14ac:dyDescent="0.3">
      <c r="A57" s="87"/>
      <c r="B57" s="103" t="str">
        <f>'Activity database'!W3</f>
        <v>Waste disposal unit</v>
      </c>
      <c r="C57" s="102" t="s">
        <v>735</v>
      </c>
      <c r="D57" s="224"/>
      <c r="E57" s="97" t="s">
        <v>515</v>
      </c>
      <c r="F57" s="97">
        <f>VLOOKUP($B$19,'Activity database'!A:BO,39,FALSE)</f>
        <v>30</v>
      </c>
      <c r="G57" s="94" t="str">
        <f>IF(ISERROR((D57*F57)/O142),Q138,((D57*F57)/O142))</f>
        <v>Requires building information</v>
      </c>
      <c r="I57" s="117"/>
      <c r="J57" s="117"/>
      <c r="K57" s="117"/>
      <c r="L57" s="117"/>
      <c r="M57" s="117"/>
      <c r="N57" s="96" t="str">
        <f t="shared" si="2"/>
        <v>Waste disposal unit</v>
      </c>
      <c r="O57" s="97">
        <f>IF($D$57="",0,VLOOKUP($N$57,'Activity database'!$AT:$BA,2,FALSE))</f>
        <v>0</v>
      </c>
      <c r="P57" s="97" t="str">
        <f t="shared" si="3"/>
        <v>-</v>
      </c>
      <c r="Q57" s="97">
        <f t="shared" si="3"/>
        <v>30</v>
      </c>
      <c r="R57" s="94">
        <f>IF($D$57="",0,(O57*$Q$57)/$O$142)</f>
        <v>0</v>
      </c>
      <c r="S57" s="117"/>
      <c r="T57" s="87"/>
      <c r="U57" s="87"/>
      <c r="V57" s="87"/>
      <c r="W57" s="87"/>
      <c r="X57" s="87"/>
      <c r="Y57" s="87"/>
      <c r="Z57" s="87"/>
      <c r="AA57" s="87"/>
      <c r="AC57" s="117"/>
      <c r="AN57" s="117"/>
    </row>
    <row r="58" spans="1:40" ht="15" hidden="1" customHeight="1" x14ac:dyDescent="0.3">
      <c r="A58" s="246" t="s">
        <v>849</v>
      </c>
      <c r="B58" s="103" t="str">
        <f>'Activity database'!V3</f>
        <v>Washing machine</v>
      </c>
      <c r="C58" s="102" t="s">
        <v>744</v>
      </c>
      <c r="D58" s="217"/>
      <c r="E58" s="97" t="str">
        <f>VLOOKUP($B$13,'Activity database'!$A:$AN,22,FALSE)</f>
        <v>N/A</v>
      </c>
      <c r="F58" s="97" t="str">
        <f>VLOOKUP($B$13,'Activity database'!$A:$AN,38,FALSE)</f>
        <v>-</v>
      </c>
      <c r="G58" s="94">
        <f>IF(ISERROR(IF(E58="N/A",0,IF(F19="Yes",(D58*E58*F58),0))),Q138,IF(E58="N/A",0,IF(F19="Yes",(D58*E58*F58),0)))</f>
        <v>0</v>
      </c>
      <c r="H58" s="419" t="s">
        <v>849</v>
      </c>
      <c r="I58" s="117"/>
      <c r="J58" s="117"/>
      <c r="K58" s="117"/>
      <c r="L58" s="117"/>
      <c r="M58" s="117"/>
      <c r="N58" s="96" t="str">
        <f t="shared" si="2"/>
        <v>Washing machine</v>
      </c>
      <c r="O58" s="97">
        <f>IF($D$58="",0,'Activity database'!AU20)</f>
        <v>0</v>
      </c>
      <c r="P58" s="97" t="str">
        <f t="shared" si="3"/>
        <v>N/A</v>
      </c>
      <c r="Q58" s="97" t="str">
        <f t="shared" si="3"/>
        <v>-</v>
      </c>
      <c r="R58" s="94">
        <f>IF($D$58="",0,IF($F$19="Yes",(O58*$P$58*$Q$58)))</f>
        <v>0</v>
      </c>
      <c r="S58" s="117"/>
      <c r="T58" s="87"/>
      <c r="U58" s="87"/>
      <c r="V58" s="87"/>
      <c r="W58" s="87"/>
      <c r="X58" s="87"/>
      <c r="Y58" s="87"/>
      <c r="Z58" s="87"/>
      <c r="AA58" s="87"/>
      <c r="AC58" s="117"/>
      <c r="AN58" s="117"/>
    </row>
    <row r="59" spans="1:40" ht="15" customHeight="1" x14ac:dyDescent="0.3">
      <c r="A59" s="87"/>
      <c r="B59" s="103" t="str">
        <f>'Activity database'!Y3</f>
        <v>Fixed use - food preparation</v>
      </c>
      <c r="C59" s="102" t="s">
        <v>738</v>
      </c>
      <c r="D59" s="97" t="s">
        <v>515</v>
      </c>
      <c r="E59" s="97" t="s">
        <v>515</v>
      </c>
      <c r="F59" s="97" t="s">
        <v>515</v>
      </c>
      <c r="G59" s="94">
        <f>IF(ISERROR(IF(F19="Yes",(VLOOKUP(B19,'Activity database'!A:BO,25,FALSE)/O142),0)),Q138,IF(F19="Yes",(VLOOKUP(B19,'Activity database'!A:BO,25,FALSE)/O142),0))</f>
        <v>0</v>
      </c>
      <c r="H59" s="560"/>
      <c r="I59" s="544"/>
      <c r="J59" s="544"/>
      <c r="K59" s="544"/>
      <c r="L59" s="544"/>
      <c r="M59" s="544"/>
      <c r="N59" s="96" t="str">
        <f t="shared" si="2"/>
        <v>Fixed use - food preparation</v>
      </c>
      <c r="O59" s="97" t="s">
        <v>517</v>
      </c>
      <c r="P59" s="97" t="str">
        <f>E59</f>
        <v>-</v>
      </c>
      <c r="Q59" s="97" t="s">
        <v>517</v>
      </c>
      <c r="R59" s="94">
        <f>$G$59</f>
        <v>0</v>
      </c>
      <c r="S59" s="117"/>
      <c r="T59" s="87"/>
      <c r="U59" s="87"/>
      <c r="V59" s="87"/>
      <c r="W59" s="87"/>
      <c r="X59" s="87"/>
      <c r="Y59" s="87"/>
      <c r="Z59" s="87"/>
      <c r="AA59" s="87"/>
      <c r="AC59" s="117"/>
      <c r="AN59" s="117"/>
    </row>
    <row r="60" spans="1:40" ht="15" customHeight="1" x14ac:dyDescent="0.3">
      <c r="A60" s="87"/>
      <c r="B60" s="103" t="str">
        <f>'Activity database'!Z3</f>
        <v>Fixed use - kitchen cleaning</v>
      </c>
      <c r="C60" s="102" t="s">
        <v>738</v>
      </c>
      <c r="D60" s="97" t="s">
        <v>515</v>
      </c>
      <c r="E60" s="97" t="s">
        <v>515</v>
      </c>
      <c r="F60" s="97" t="s">
        <v>515</v>
      </c>
      <c r="G60" s="94">
        <f>IF(ISERROR(IF(F19="Yes",(VLOOKUP(B19,'Activity database'!A:BO,26,FALSE)/O142),0)),Q138,(IF(F19="Yes",(VLOOKUP(B19,'Activity database'!A:BO,26,FALSE)/O142),0)))</f>
        <v>0</v>
      </c>
      <c r="H60" s="560"/>
      <c r="I60" s="544"/>
      <c r="J60" s="544"/>
      <c r="K60" s="544"/>
      <c r="L60" s="544"/>
      <c r="M60" s="544"/>
      <c r="N60" s="96" t="str">
        <f t="shared" si="2"/>
        <v>Fixed use - kitchen cleaning</v>
      </c>
      <c r="O60" s="97" t="s">
        <v>517</v>
      </c>
      <c r="P60" s="97" t="str">
        <f>E60</f>
        <v>-</v>
      </c>
      <c r="Q60" s="97" t="s">
        <v>517</v>
      </c>
      <c r="R60" s="94">
        <f>$G$60</f>
        <v>0</v>
      </c>
      <c r="S60" s="117"/>
      <c r="T60" s="87"/>
      <c r="U60" s="87"/>
      <c r="V60" s="87"/>
      <c r="W60" s="87"/>
      <c r="X60" s="87"/>
      <c r="Y60" s="87"/>
      <c r="Z60" s="87"/>
      <c r="AA60" s="87"/>
      <c r="AC60" s="117"/>
      <c r="AN60" s="117"/>
    </row>
    <row r="61" spans="1:40" ht="15" customHeight="1" x14ac:dyDescent="0.3">
      <c r="A61" s="87"/>
      <c r="B61" s="87"/>
      <c r="C61" s="87"/>
      <c r="D61" s="87"/>
      <c r="E61" s="87"/>
      <c r="F61" s="87"/>
      <c r="G61" s="87"/>
      <c r="I61" s="117"/>
      <c r="J61" s="117"/>
      <c r="K61" s="117"/>
      <c r="L61" s="117"/>
      <c r="M61" s="117"/>
      <c r="N61" s="117"/>
      <c r="O61" s="117"/>
      <c r="P61" s="117"/>
      <c r="Q61" s="117"/>
      <c r="R61" s="117"/>
      <c r="S61" s="117"/>
      <c r="T61" s="87"/>
      <c r="U61" s="87"/>
      <c r="V61" s="87"/>
      <c r="W61" s="87"/>
      <c r="X61" s="87"/>
      <c r="Y61" s="87"/>
      <c r="Z61" s="87"/>
      <c r="AA61" s="87"/>
      <c r="AC61" s="117"/>
      <c r="AN61" s="117"/>
    </row>
    <row r="62" spans="1:40" ht="25" customHeight="1" x14ac:dyDescent="0.3">
      <c r="A62" s="87"/>
      <c r="B62" s="268"/>
      <c r="C62" s="87"/>
      <c r="D62" s="87"/>
      <c r="E62" s="87"/>
      <c r="F62" s="87"/>
      <c r="G62" s="444" t="s">
        <v>745</v>
      </c>
      <c r="H62" s="545" t="s">
        <v>746</v>
      </c>
      <c r="I62" s="545"/>
      <c r="J62" s="545"/>
      <c r="K62" s="545"/>
      <c r="L62" s="545"/>
      <c r="M62" s="545"/>
      <c r="N62" s="117"/>
      <c r="O62" s="117"/>
      <c r="P62" s="117"/>
      <c r="Q62" s="87"/>
      <c r="R62" s="111" t="s">
        <v>719</v>
      </c>
      <c r="S62" s="117"/>
      <c r="T62" s="87"/>
      <c r="U62" s="87"/>
      <c r="V62" s="87"/>
      <c r="W62" s="87"/>
      <c r="X62" s="87"/>
      <c r="Y62" s="87"/>
      <c r="Z62" s="87"/>
      <c r="AA62" s="87"/>
      <c r="AC62" s="117"/>
      <c r="AN62" s="117"/>
    </row>
    <row r="63" spans="1:40" ht="15" customHeight="1" x14ac:dyDescent="0.3">
      <c r="A63" s="87"/>
      <c r="B63" s="87"/>
      <c r="C63" s="87"/>
      <c r="D63" s="87"/>
      <c r="E63" s="87"/>
      <c r="F63" s="113" t="s">
        <v>748</v>
      </c>
      <c r="G63" s="92" t="str">
        <f>IF(OR(G30=Q138,AND(F16=Q132,F17=Q132,F18=Q132,F19=Q132,F20=Q132,F21=Q132,F22=Q132,F23=Q132,F24=Q132,F25=Q132)),Q138,(SUM(G30:G31)+G34+G37+G40+SUM(G45:G50)+SUM(G52:G53)+SUM(G55:G60)))</f>
        <v>Requires building information</v>
      </c>
      <c r="H63" s="545"/>
      <c r="I63" s="545"/>
      <c r="J63" s="545"/>
      <c r="K63" s="545"/>
      <c r="L63" s="545"/>
      <c r="M63" s="545"/>
      <c r="N63" s="117"/>
      <c r="O63" s="117"/>
      <c r="P63" s="117"/>
      <c r="Q63" s="113" t="s">
        <v>749</v>
      </c>
      <c r="R63" s="92" t="e">
        <f>SUM(R30+R31)+R34+R37+R40+SUM(R45:R50)+SUM(R52:R53)+SUM(R55:R60)-R66</f>
        <v>#DIV/0!</v>
      </c>
      <c r="S63" s="117"/>
      <c r="T63" s="87"/>
      <c r="U63" s="87"/>
      <c r="V63" s="87"/>
      <c r="W63" s="87"/>
      <c r="X63" s="87"/>
      <c r="Y63" s="87"/>
      <c r="Z63" s="87"/>
      <c r="AA63" s="87"/>
      <c r="AC63" s="117"/>
      <c r="AN63" s="117"/>
    </row>
    <row r="64" spans="1:40" ht="25" customHeight="1" x14ac:dyDescent="0.3">
      <c r="A64" s="87"/>
      <c r="B64" s="87"/>
      <c r="C64" s="87"/>
      <c r="D64" s="110"/>
      <c r="E64" s="110"/>
      <c r="F64" s="110"/>
      <c r="G64" s="88"/>
      <c r="H64" s="545"/>
      <c r="I64" s="545"/>
      <c r="J64" s="545"/>
      <c r="K64" s="545"/>
      <c r="L64" s="545"/>
      <c r="M64" s="545"/>
      <c r="N64" s="87"/>
      <c r="O64" s="110"/>
      <c r="P64" s="122"/>
      <c r="Q64" s="122"/>
      <c r="R64" s="122"/>
      <c r="S64" s="117"/>
      <c r="T64" s="87"/>
      <c r="U64" s="87"/>
      <c r="V64" s="87"/>
      <c r="W64" s="87"/>
      <c r="X64" s="87"/>
      <c r="Y64" s="87"/>
      <c r="Z64" s="87"/>
      <c r="AA64" s="87"/>
      <c r="AC64" s="117"/>
      <c r="AN64" s="117"/>
    </row>
    <row r="65" spans="1:40" ht="32.15" customHeight="1" x14ac:dyDescent="0.3">
      <c r="A65" s="87"/>
      <c r="B65" s="422" t="s">
        <v>750</v>
      </c>
      <c r="C65" s="422"/>
      <c r="D65" s="422"/>
      <c r="E65" s="422"/>
      <c r="F65" s="422"/>
      <c r="G65" s="422"/>
      <c r="I65" s="117"/>
      <c r="J65" s="117"/>
      <c r="K65" s="117"/>
      <c r="L65" s="117"/>
      <c r="M65" s="117"/>
      <c r="N65" s="87"/>
      <c r="O65" s="87"/>
      <c r="P65" s="117"/>
      <c r="Q65" s="87"/>
      <c r="R65" s="111" t="s">
        <v>751</v>
      </c>
      <c r="S65" s="117"/>
      <c r="T65" s="87"/>
      <c r="U65" s="87"/>
      <c r="V65" s="87"/>
      <c r="W65" s="87"/>
      <c r="X65" s="87"/>
      <c r="Y65" s="87"/>
      <c r="Z65" s="87"/>
      <c r="AA65" s="87"/>
      <c r="AC65" s="117"/>
      <c r="AN65" s="117"/>
    </row>
    <row r="66" spans="1:40" ht="25" customHeight="1" x14ac:dyDescent="0.3">
      <c r="A66" s="87"/>
      <c r="B66" s="87"/>
      <c r="C66" s="87"/>
      <c r="D66" s="87"/>
      <c r="E66" s="87"/>
      <c r="F66" s="87"/>
      <c r="G66" s="88"/>
      <c r="I66" s="117"/>
      <c r="J66" s="117"/>
      <c r="K66" s="117"/>
      <c r="L66" s="117"/>
      <c r="M66" s="117"/>
      <c r="N66" s="87"/>
      <c r="O66" s="87"/>
      <c r="P66" s="117"/>
      <c r="Q66" s="253" t="s">
        <v>749</v>
      </c>
      <c r="R66" s="92">
        <f>R50+R59+R60</f>
        <v>0</v>
      </c>
      <c r="S66" s="117"/>
      <c r="T66" s="87"/>
      <c r="U66" s="87"/>
      <c r="V66" s="87"/>
      <c r="W66" s="87"/>
      <c r="X66" s="87"/>
      <c r="Y66" s="117"/>
      <c r="Z66" s="117"/>
      <c r="AA66" s="117"/>
      <c r="AC66" s="117"/>
      <c r="AN66" s="117"/>
    </row>
    <row r="67" spans="1:40" ht="15" customHeight="1" x14ac:dyDescent="0.3">
      <c r="A67" s="293" t="str">
        <f>IF(G67=$Q$130,"&gt;","")</f>
        <v/>
      </c>
      <c r="B67" s="89"/>
      <c r="C67" s="105"/>
      <c r="D67" s="106"/>
      <c r="E67" s="106"/>
      <c r="F67" s="107" t="s">
        <v>752</v>
      </c>
      <c r="G67" s="225" t="s">
        <v>811</v>
      </c>
      <c r="I67" s="117"/>
      <c r="J67" s="117"/>
      <c r="K67" s="117"/>
      <c r="L67" s="117"/>
      <c r="M67" s="117"/>
      <c r="N67" s="87"/>
      <c r="O67" s="87"/>
      <c r="P67" s="117"/>
      <c r="Q67" s="117"/>
      <c r="R67" s="117"/>
      <c r="S67" s="117"/>
      <c r="T67" s="87"/>
      <c r="U67" s="87"/>
      <c r="V67" s="87"/>
      <c r="W67" s="87"/>
      <c r="X67" s="87"/>
      <c r="Y67" s="117"/>
      <c r="Z67" s="117"/>
      <c r="AA67" s="117"/>
      <c r="AC67" s="117"/>
      <c r="AN67" s="117"/>
    </row>
    <row r="68" spans="1:40" ht="12" customHeight="1" x14ac:dyDescent="0.3">
      <c r="A68" s="87"/>
      <c r="B68" s="87"/>
      <c r="C68" s="114"/>
      <c r="D68" s="87"/>
      <c r="E68" s="87"/>
      <c r="F68" s="87"/>
      <c r="G68" s="88"/>
      <c r="I68" s="117"/>
      <c r="J68" s="117"/>
      <c r="K68" s="117"/>
      <c r="L68" s="117"/>
      <c r="M68" s="117"/>
      <c r="N68" s="87"/>
      <c r="O68" s="87"/>
      <c r="P68" s="117"/>
      <c r="Q68" s="117"/>
      <c r="R68" s="117"/>
      <c r="S68" s="117"/>
      <c r="T68" s="87"/>
      <c r="U68" s="87"/>
      <c r="V68" s="87"/>
      <c r="W68" s="87"/>
      <c r="X68" s="87"/>
      <c r="Y68" s="117"/>
      <c r="Z68" s="117"/>
      <c r="AA68" s="117"/>
      <c r="AC68" s="117"/>
      <c r="AN68" s="117"/>
    </row>
    <row r="69" spans="1:40" ht="25" customHeight="1" x14ac:dyDescent="0.3">
      <c r="A69" s="87"/>
      <c r="B69" s="87"/>
      <c r="C69" s="446" t="s">
        <v>754</v>
      </c>
      <c r="D69" s="444"/>
      <c r="E69" s="444" t="s">
        <v>755</v>
      </c>
      <c r="F69" s="444" t="s">
        <v>756</v>
      </c>
      <c r="G69" s="444" t="s">
        <v>757</v>
      </c>
      <c r="I69" s="117"/>
      <c r="J69" s="117"/>
      <c r="K69" s="117"/>
      <c r="L69" s="117"/>
      <c r="M69" s="117"/>
      <c r="N69" s="87"/>
      <c r="O69" s="87"/>
      <c r="P69" s="117"/>
      <c r="Q69" s="117"/>
      <c r="R69" s="117"/>
      <c r="S69" s="117"/>
      <c r="T69" s="87"/>
      <c r="U69" s="87"/>
      <c r="V69" s="87"/>
      <c r="W69" s="87"/>
      <c r="X69" s="87"/>
      <c r="Y69" s="117"/>
      <c r="Z69" s="117"/>
      <c r="AA69" s="117"/>
      <c r="AC69" s="117"/>
      <c r="AN69" s="117"/>
    </row>
    <row r="70" spans="1:40" ht="15" customHeight="1" x14ac:dyDescent="0.3">
      <c r="A70" s="87"/>
      <c r="B70" s="293" t="str">
        <f t="shared" ref="B70:B73" si="4">IF(AND($G$67=$Q$131,E70=""),"&gt;",IF(AND($G$67=$Q$131,E70=$Q$131,F70=""),"&gt;",""))</f>
        <v>&gt;</v>
      </c>
      <c r="C70" s="96" t="str">
        <f>B45</f>
        <v>Wash hand basin taps</v>
      </c>
      <c r="D70" s="134"/>
      <c r="E70" s="218"/>
      <c r="F70" s="226"/>
      <c r="G70" s="94">
        <f>IF(OR(E70=$Q$132,E70=""),0,G45*F70)</f>
        <v>0</v>
      </c>
      <c r="I70" s="117"/>
      <c r="J70" s="117"/>
      <c r="K70" s="117"/>
      <c r="L70" s="117"/>
      <c r="M70" s="117"/>
      <c r="N70" s="117"/>
      <c r="O70" s="117"/>
      <c r="P70" s="117"/>
      <c r="Q70" s="117"/>
      <c r="R70" s="117"/>
      <c r="S70" s="117"/>
      <c r="T70" s="117"/>
      <c r="U70" s="117"/>
      <c r="V70" s="117"/>
      <c r="W70" s="117"/>
      <c r="X70" s="117"/>
      <c r="Y70" s="117"/>
      <c r="Z70" s="117"/>
      <c r="AA70" s="117"/>
      <c r="AC70" s="117"/>
      <c r="AN70" s="117"/>
    </row>
    <row r="71" spans="1:40" ht="15" customHeight="1" x14ac:dyDescent="0.3">
      <c r="A71" s="87"/>
      <c r="B71" s="293" t="str">
        <f t="shared" si="4"/>
        <v>&gt;</v>
      </c>
      <c r="C71" s="96" t="s">
        <v>537</v>
      </c>
      <c r="D71" s="134"/>
      <c r="E71" s="218"/>
      <c r="F71" s="226"/>
      <c r="G71" s="94">
        <f>IF(OR(E71=$Q$132,E71=""),0,(SUM(G46:G47)*F71))</f>
        <v>0</v>
      </c>
      <c r="I71" s="117"/>
      <c r="J71" s="117"/>
      <c r="K71" s="117"/>
      <c r="L71" s="117"/>
      <c r="M71" s="117"/>
      <c r="N71" s="117"/>
      <c r="O71" s="117"/>
      <c r="P71" s="117"/>
      <c r="Q71" s="117"/>
      <c r="R71" s="117"/>
      <c r="S71" s="117"/>
      <c r="T71" s="117"/>
      <c r="U71" s="117"/>
      <c r="V71" s="117"/>
      <c r="W71" s="117"/>
      <c r="X71" s="117"/>
      <c r="Y71" s="117"/>
      <c r="Z71" s="117"/>
      <c r="AA71" s="117"/>
      <c r="AB71" s="122"/>
      <c r="AC71" s="117"/>
      <c r="AN71" s="117"/>
    </row>
    <row r="72" spans="1:40" ht="15" customHeight="1" x14ac:dyDescent="0.3">
      <c r="A72" s="87"/>
      <c r="B72" s="293" t="str">
        <f t="shared" si="4"/>
        <v>&gt;</v>
      </c>
      <c r="C72" s="96" t="str">
        <f>B52</f>
        <v>Kitchen taps - kitchenette</v>
      </c>
      <c r="D72" s="134"/>
      <c r="E72" s="224"/>
      <c r="F72" s="226"/>
      <c r="G72" s="94">
        <f>IF(OR(E72=$Q$132,E72=""),0,G52*F72)</f>
        <v>0</v>
      </c>
      <c r="I72" s="117"/>
      <c r="J72" s="117"/>
      <c r="K72" s="117"/>
      <c r="L72" s="117"/>
      <c r="M72" s="117"/>
      <c r="N72" s="117"/>
      <c r="O72" s="117"/>
      <c r="P72" s="117"/>
      <c r="Q72" s="117"/>
      <c r="R72" s="117"/>
      <c r="S72" s="117"/>
      <c r="T72" s="117"/>
      <c r="U72" s="117"/>
      <c r="V72" s="117"/>
      <c r="W72" s="117"/>
      <c r="X72" s="117"/>
      <c r="Y72" s="117"/>
      <c r="Z72" s="117"/>
      <c r="AA72" s="117"/>
      <c r="AB72" s="122"/>
      <c r="AC72" s="117"/>
      <c r="AN72" s="117"/>
    </row>
    <row r="73" spans="1:40" ht="15" customHeight="1" x14ac:dyDescent="0.3">
      <c r="A73" s="87"/>
      <c r="B73" s="293" t="str">
        <f t="shared" si="4"/>
        <v>&gt;</v>
      </c>
      <c r="C73" s="96" t="s">
        <v>758</v>
      </c>
      <c r="D73" s="134"/>
      <c r="E73" s="228"/>
      <c r="F73" s="226"/>
      <c r="G73" s="94">
        <f>IF(OR(E73=$Q$132,E73=""),0,F73*G53)</f>
        <v>0</v>
      </c>
      <c r="I73" s="117"/>
      <c r="J73" s="117"/>
      <c r="K73" s="117"/>
      <c r="L73" s="117"/>
      <c r="M73" s="117"/>
      <c r="N73" s="117"/>
      <c r="O73" s="117"/>
      <c r="P73" s="117"/>
      <c r="Q73" s="117"/>
      <c r="R73" s="117"/>
      <c r="S73" s="117"/>
      <c r="T73" s="117"/>
      <c r="U73" s="117"/>
      <c r="V73" s="117"/>
      <c r="W73" s="117"/>
      <c r="X73" s="117"/>
      <c r="Y73" s="117"/>
      <c r="Z73" s="117"/>
      <c r="AA73" s="117"/>
      <c r="AB73" s="122"/>
      <c r="AC73" s="117"/>
      <c r="AN73" s="117"/>
    </row>
    <row r="74" spans="1:40" ht="15" customHeight="1" x14ac:dyDescent="0.3">
      <c r="A74" s="87"/>
      <c r="B74" s="293"/>
      <c r="C74" s="96" t="str">
        <f>B55</f>
        <v>Kitchen taps - pre-rinse nozzle</v>
      </c>
      <c r="D74" s="134"/>
      <c r="E74" s="224"/>
      <c r="F74" s="227"/>
      <c r="G74" s="94">
        <f>IF(OR(E74=$Q$132,E74=""),0,G55*F74)</f>
        <v>0</v>
      </c>
      <c r="I74" s="117"/>
      <c r="J74" s="117"/>
      <c r="K74" s="117"/>
      <c r="L74" s="117"/>
      <c r="M74" s="117"/>
      <c r="N74" s="117"/>
      <c r="O74" s="117"/>
      <c r="P74" s="117"/>
      <c r="Q74" s="117"/>
      <c r="R74" s="117"/>
      <c r="S74" s="117"/>
      <c r="T74" s="117"/>
      <c r="U74" s="117"/>
      <c r="V74" s="117"/>
      <c r="W74" s="117"/>
      <c r="X74" s="117"/>
      <c r="Y74" s="117"/>
      <c r="Z74" s="117"/>
      <c r="AA74" s="117"/>
      <c r="AB74" s="122"/>
      <c r="AC74" s="117"/>
      <c r="AN74" s="117"/>
    </row>
    <row r="75" spans="1:40" ht="15" customHeight="1" x14ac:dyDescent="0.3">
      <c r="A75" s="87"/>
      <c r="B75" s="293"/>
      <c r="C75" s="96" t="s">
        <v>759</v>
      </c>
      <c r="D75" s="134"/>
      <c r="E75" s="224"/>
      <c r="F75" s="227"/>
      <c r="G75" s="94">
        <f>IF(OR(E75=$Q$132,E75=""),0,F75*G56)</f>
        <v>0</v>
      </c>
      <c r="I75" s="117"/>
      <c r="J75" s="117"/>
      <c r="K75" s="117"/>
      <c r="L75" s="117"/>
      <c r="M75" s="117"/>
      <c r="N75" s="117"/>
      <c r="O75" s="117"/>
      <c r="P75" s="117"/>
      <c r="Q75" s="117"/>
      <c r="R75" s="117"/>
      <c r="S75" s="117"/>
      <c r="T75" s="117"/>
      <c r="U75" s="117"/>
      <c r="V75" s="117"/>
      <c r="W75" s="117"/>
      <c r="X75" s="117"/>
      <c r="Y75" s="117"/>
      <c r="Z75" s="117"/>
      <c r="AA75" s="117"/>
      <c r="AB75" s="122"/>
      <c r="AC75" s="117"/>
      <c r="AN75" s="117"/>
    </row>
    <row r="76" spans="1:40" ht="15" customHeight="1" x14ac:dyDescent="0.3">
      <c r="A76" s="87"/>
      <c r="B76" s="244"/>
      <c r="C76" s="96" t="s">
        <v>760</v>
      </c>
      <c r="D76" s="134"/>
      <c r="E76" s="224"/>
      <c r="F76" s="227"/>
      <c r="G76" s="94">
        <f>IF(OR(E76=Q132,E76="",E48="N/A",E49="N/A"),0,(SUM(G48:G49)*F76))</f>
        <v>0</v>
      </c>
      <c r="H76" s="419"/>
      <c r="I76" s="253"/>
      <c r="J76" s="117"/>
      <c r="K76" s="117"/>
      <c r="L76" s="117"/>
      <c r="M76" s="117"/>
      <c r="N76" s="117"/>
      <c r="O76" s="117"/>
      <c r="P76" s="117"/>
      <c r="Q76" s="117"/>
      <c r="R76" s="117"/>
      <c r="S76" s="117"/>
      <c r="T76" s="117"/>
      <c r="U76" s="117"/>
      <c r="V76" s="117"/>
      <c r="W76" s="117"/>
      <c r="X76" s="117"/>
      <c r="Y76" s="117"/>
      <c r="Z76" s="117"/>
      <c r="AA76" s="117"/>
      <c r="AB76" s="122"/>
      <c r="AC76" s="117"/>
      <c r="AN76" s="117"/>
    </row>
    <row r="77" spans="1:40" ht="15" customHeight="1" x14ac:dyDescent="0.3">
      <c r="A77" s="87"/>
      <c r="B77" s="244"/>
      <c r="C77" s="96" t="str">
        <f>B58</f>
        <v>Washing machine</v>
      </c>
      <c r="D77" s="134"/>
      <c r="E77" s="224"/>
      <c r="F77" s="227"/>
      <c r="G77" s="94">
        <f>IF(OR(E77=Q133,E77=""),0,F77*G58)</f>
        <v>0</v>
      </c>
      <c r="H77" s="419"/>
      <c r="I77" s="253"/>
      <c r="J77" s="117"/>
      <c r="K77" s="117"/>
      <c r="L77" s="117"/>
      <c r="M77" s="117"/>
      <c r="N77" s="117"/>
      <c r="O77" s="117"/>
      <c r="P77" s="117"/>
      <c r="Q77" s="117"/>
      <c r="R77" s="117"/>
      <c r="S77" s="117"/>
      <c r="T77" s="117"/>
      <c r="U77" s="117"/>
      <c r="V77" s="117"/>
      <c r="W77" s="117"/>
      <c r="X77" s="117"/>
      <c r="Y77" s="117"/>
      <c r="Z77" s="117"/>
      <c r="AA77" s="117"/>
      <c r="AB77" s="122"/>
      <c r="AC77" s="117"/>
      <c r="AN77" s="117"/>
    </row>
    <row r="78" spans="1:40" ht="25" customHeight="1" x14ac:dyDescent="0.3">
      <c r="A78" s="87"/>
      <c r="B78" s="87"/>
      <c r="C78" s="444" t="s">
        <v>761</v>
      </c>
      <c r="D78" s="444" t="s">
        <v>762</v>
      </c>
      <c r="E78" s="444" t="s">
        <v>763</v>
      </c>
      <c r="F78" s="444" t="s">
        <v>764</v>
      </c>
      <c r="G78" s="444" t="s">
        <v>757</v>
      </c>
      <c r="H78" s="560" t="str">
        <f>IF(G67=Q131,N152,"")</f>
        <v>Note: If greywater is collected from a component/source not accounted for above i.e. their consumption is not estimated, then the amount of greywater collected can be added here so that it may be accounted for. This can include wastewater from active hygiene flushing, i.e. a regular hygiene flushing programme to minimize poor water quality in a potable cold or hot water system.</v>
      </c>
      <c r="I78" s="544"/>
      <c r="J78" s="544"/>
      <c r="K78" s="544"/>
      <c r="L78" s="544"/>
      <c r="M78" s="544"/>
      <c r="N78" s="117"/>
      <c r="O78" s="117"/>
      <c r="P78" s="117"/>
      <c r="Q78" s="117"/>
      <c r="R78" s="117"/>
      <c r="S78" s="117"/>
      <c r="T78" s="117"/>
      <c r="U78" s="117"/>
      <c r="V78" s="117"/>
      <c r="W78" s="117"/>
      <c r="X78" s="117"/>
      <c r="Y78" s="117"/>
      <c r="Z78" s="117"/>
      <c r="AA78" s="117"/>
      <c r="AB78" s="133"/>
      <c r="AC78" s="117"/>
      <c r="AN78" s="117"/>
    </row>
    <row r="79" spans="1:40" ht="15" customHeight="1" x14ac:dyDescent="0.3">
      <c r="A79" s="87"/>
      <c r="B79" s="87"/>
      <c r="C79" s="103" t="s">
        <v>765</v>
      </c>
      <c r="D79" s="218"/>
      <c r="E79" s="218"/>
      <c r="F79" s="94" t="str">
        <f>IF(D79="","",D79/E79)</f>
        <v/>
      </c>
      <c r="G79" s="94">
        <f>IF(D79="",0,F79/O142)</f>
        <v>0</v>
      </c>
      <c r="H79" s="560"/>
      <c r="I79" s="544"/>
      <c r="J79" s="544"/>
      <c r="K79" s="544"/>
      <c r="L79" s="544"/>
      <c r="M79" s="544"/>
      <c r="N79" s="117"/>
      <c r="O79" s="117"/>
      <c r="P79" s="117"/>
      <c r="Q79" s="117"/>
      <c r="R79" s="117"/>
      <c r="S79" s="117"/>
      <c r="T79" s="117"/>
      <c r="U79" s="117"/>
      <c r="V79" s="117"/>
      <c r="W79" s="117"/>
      <c r="X79" s="117"/>
      <c r="Y79" s="117"/>
      <c r="Z79" s="117"/>
      <c r="AA79" s="117"/>
      <c r="AB79" s="122"/>
      <c r="AC79" s="117"/>
      <c r="AN79" s="117"/>
    </row>
    <row r="80" spans="1:40" ht="15" customHeight="1" x14ac:dyDescent="0.3">
      <c r="A80" s="87"/>
      <c r="B80" s="87"/>
      <c r="C80" s="87"/>
      <c r="D80" s="87"/>
      <c r="E80" s="87"/>
      <c r="F80" s="87"/>
      <c r="G80" s="87"/>
      <c r="I80" s="117"/>
      <c r="J80" s="117"/>
      <c r="K80" s="117"/>
      <c r="L80" s="117"/>
      <c r="M80" s="117"/>
      <c r="N80" s="117"/>
      <c r="O80" s="117"/>
      <c r="P80" s="117"/>
      <c r="Q80" s="117"/>
      <c r="R80" s="117"/>
      <c r="S80" s="117"/>
      <c r="T80" s="117"/>
      <c r="U80" s="117"/>
      <c r="V80" s="117"/>
      <c r="W80" s="117"/>
      <c r="X80" s="117"/>
      <c r="Y80" s="117"/>
      <c r="Z80" s="117"/>
      <c r="AA80" s="117"/>
      <c r="AB80" s="122"/>
      <c r="AC80" s="117"/>
      <c r="AN80" s="117"/>
    </row>
    <row r="81" spans="1:40" ht="25" customHeight="1" x14ac:dyDescent="0.3">
      <c r="A81" s="87"/>
      <c r="B81" s="87"/>
      <c r="C81" s="87"/>
      <c r="D81" s="87"/>
      <c r="E81" s="87"/>
      <c r="F81" s="87"/>
      <c r="G81" s="444" t="s">
        <v>766</v>
      </c>
      <c r="I81" s="117"/>
      <c r="J81" s="117"/>
      <c r="K81" s="117"/>
      <c r="L81" s="117"/>
      <c r="M81" s="117"/>
      <c r="N81" s="117"/>
      <c r="O81" s="117"/>
      <c r="P81" s="117"/>
      <c r="Q81" s="117"/>
      <c r="R81" s="117"/>
      <c r="S81" s="117"/>
      <c r="T81" s="117"/>
      <c r="U81" s="117"/>
      <c r="V81" s="117"/>
      <c r="W81" s="117"/>
      <c r="X81" s="117"/>
      <c r="Y81" s="117"/>
      <c r="Z81" s="117"/>
      <c r="AA81" s="117"/>
      <c r="AB81" s="122"/>
      <c r="AC81" s="117"/>
      <c r="AN81" s="117"/>
    </row>
    <row r="82" spans="1:40" ht="15" customHeight="1" x14ac:dyDescent="0.3">
      <c r="A82" s="87"/>
      <c r="B82" s="87"/>
      <c r="C82" s="87"/>
      <c r="D82" s="87"/>
      <c r="E82" s="87"/>
      <c r="F82" s="113" t="s">
        <v>748</v>
      </c>
      <c r="G82" s="94">
        <f>IF(B13=Q130,Q138,IF(OR(G67=Q133,G67=Q132),0,SUM(G70:G77)+G79))</f>
        <v>0</v>
      </c>
      <c r="I82" s="117"/>
      <c r="J82" s="117"/>
      <c r="K82" s="117"/>
      <c r="L82" s="117"/>
      <c r="M82" s="117"/>
      <c r="N82" s="117"/>
      <c r="O82" s="117"/>
      <c r="P82" s="117"/>
      <c r="Q82" s="117"/>
      <c r="R82" s="117"/>
      <c r="S82" s="117"/>
      <c r="T82" s="117"/>
      <c r="U82" s="117"/>
      <c r="V82" s="117"/>
      <c r="W82" s="117"/>
      <c r="X82" s="117"/>
      <c r="Y82" s="117"/>
      <c r="Z82" s="117"/>
      <c r="AA82" s="117"/>
      <c r="AC82" s="117"/>
      <c r="AN82" s="117"/>
    </row>
    <row r="83" spans="1:40" ht="25" customHeight="1" x14ac:dyDescent="0.3">
      <c r="A83" s="87"/>
      <c r="B83" s="87"/>
      <c r="C83" s="87"/>
      <c r="D83" s="87"/>
      <c r="E83" s="87"/>
      <c r="F83" s="87"/>
      <c r="G83" s="88"/>
      <c r="I83" s="117"/>
      <c r="J83" s="117"/>
      <c r="K83" s="117"/>
      <c r="L83" s="117"/>
      <c r="M83" s="117"/>
      <c r="N83" s="117"/>
      <c r="O83" s="117"/>
      <c r="P83" s="117"/>
      <c r="Q83" s="117"/>
      <c r="R83" s="117"/>
      <c r="S83" s="117"/>
      <c r="T83" s="117"/>
      <c r="U83" s="117"/>
      <c r="V83" s="117"/>
      <c r="W83" s="117"/>
      <c r="X83" s="117"/>
      <c r="Y83" s="117"/>
      <c r="Z83" s="117"/>
      <c r="AA83" s="117"/>
      <c r="AC83" s="117"/>
      <c r="AN83" s="117"/>
    </row>
    <row r="84" spans="1:40" ht="32.15" customHeight="1" x14ac:dyDescent="0.3">
      <c r="A84" s="87"/>
      <c r="B84" s="422" t="s">
        <v>767</v>
      </c>
      <c r="C84" s="422"/>
      <c r="D84" s="422"/>
      <c r="E84" s="422"/>
      <c r="F84" s="422"/>
      <c r="G84" s="422"/>
      <c r="I84" s="117"/>
      <c r="J84" s="117"/>
      <c r="K84" s="117"/>
      <c r="L84" s="117"/>
      <c r="M84" s="117"/>
      <c r="N84" s="117"/>
      <c r="O84" s="117"/>
      <c r="P84" s="117"/>
      <c r="Q84" s="117"/>
      <c r="R84" s="117"/>
      <c r="S84" s="117"/>
      <c r="T84" s="117"/>
      <c r="U84" s="117"/>
      <c r="V84" s="117"/>
      <c r="W84" s="117"/>
      <c r="X84" s="117"/>
      <c r="Y84" s="117"/>
      <c r="Z84" s="117"/>
      <c r="AA84" s="117"/>
      <c r="AC84" s="117"/>
      <c r="AN84" s="117"/>
    </row>
    <row r="85" spans="1:40" ht="25" customHeight="1" x14ac:dyDescent="0.3">
      <c r="A85" s="87"/>
      <c r="B85" s="109"/>
      <c r="C85" s="109"/>
      <c r="D85" s="87"/>
      <c r="E85" s="87"/>
      <c r="F85" s="87"/>
      <c r="G85" s="88"/>
      <c r="I85" s="117"/>
      <c r="J85" s="117"/>
      <c r="K85" s="117"/>
      <c r="L85" s="117"/>
      <c r="M85" s="117"/>
      <c r="N85" s="117"/>
      <c r="O85" s="117"/>
      <c r="P85" s="117"/>
      <c r="Q85" s="117"/>
      <c r="R85" s="117"/>
      <c r="S85" s="117"/>
      <c r="T85" s="117"/>
      <c r="U85" s="117"/>
      <c r="V85" s="117"/>
      <c r="W85" s="117"/>
      <c r="X85" s="117"/>
      <c r="Y85" s="117"/>
      <c r="Z85" s="117"/>
      <c r="AA85" s="117"/>
      <c r="AC85" s="117"/>
      <c r="AN85" s="117"/>
    </row>
    <row r="86" spans="1:40" ht="15" customHeight="1" x14ac:dyDescent="0.3">
      <c r="A86" s="293" t="str">
        <f>IF(G86=$Q$130,"&gt;","")</f>
        <v>&gt;</v>
      </c>
      <c r="B86" s="89"/>
      <c r="C86" s="105"/>
      <c r="D86" s="106"/>
      <c r="E86" s="106"/>
      <c r="F86" s="107" t="s">
        <v>768</v>
      </c>
      <c r="G86" s="229" t="s">
        <v>699</v>
      </c>
      <c r="I86" s="117"/>
      <c r="J86" s="117"/>
      <c r="K86" s="117"/>
      <c r="L86" s="117"/>
      <c r="M86" s="117"/>
      <c r="N86" s="117"/>
      <c r="O86" s="117"/>
      <c r="P86" s="117"/>
      <c r="Q86" s="117"/>
      <c r="R86" s="117"/>
      <c r="S86" s="117"/>
      <c r="T86" s="117"/>
      <c r="U86" s="117"/>
      <c r="V86" s="117"/>
      <c r="W86" s="117"/>
      <c r="X86" s="117"/>
      <c r="Y86" s="117"/>
      <c r="Z86" s="117"/>
      <c r="AA86" s="117"/>
      <c r="AC86" s="117"/>
      <c r="AN86" s="117"/>
    </row>
    <row r="87" spans="1:40" x14ac:dyDescent="0.3">
      <c r="A87" s="87"/>
      <c r="B87" s="87"/>
      <c r="C87" s="87"/>
      <c r="D87" s="87"/>
      <c r="E87" s="87"/>
      <c r="F87" s="136"/>
      <c r="G87" s="88"/>
      <c r="I87" s="117"/>
      <c r="J87" s="117"/>
      <c r="K87" s="117"/>
      <c r="L87" s="117"/>
      <c r="M87" s="117"/>
      <c r="N87" s="117"/>
      <c r="O87" s="117"/>
      <c r="P87" s="117"/>
      <c r="Q87" s="117"/>
      <c r="R87" s="117"/>
      <c r="S87" s="117"/>
      <c r="T87" s="117"/>
      <c r="U87" s="117"/>
      <c r="V87" s="117"/>
      <c r="W87" s="117"/>
      <c r="X87" s="117"/>
      <c r="Y87" s="117"/>
      <c r="Z87" s="117"/>
      <c r="AA87" s="117"/>
      <c r="AC87" s="117"/>
      <c r="AN87" s="117"/>
    </row>
    <row r="88" spans="1:40" ht="15" customHeight="1" x14ac:dyDescent="0.3">
      <c r="A88" s="293" t="str">
        <f>IF(AND($G$86=$Q$131,G88=$Q$130),"&gt;","")</f>
        <v/>
      </c>
      <c r="B88" s="89"/>
      <c r="C88" s="105"/>
      <c r="D88" s="106"/>
      <c r="E88" s="106"/>
      <c r="F88" s="107" t="s">
        <v>769</v>
      </c>
      <c r="G88" s="229" t="s">
        <v>812</v>
      </c>
      <c r="I88" s="117"/>
      <c r="J88" s="117"/>
      <c r="K88" s="117"/>
      <c r="L88" s="117"/>
      <c r="M88" s="117"/>
      <c r="N88" s="117"/>
      <c r="O88" s="117"/>
      <c r="P88" s="117"/>
      <c r="Q88" s="117"/>
      <c r="R88" s="117"/>
      <c r="S88" s="117"/>
      <c r="T88" s="117"/>
      <c r="U88" s="117"/>
      <c r="V88" s="117"/>
      <c r="W88" s="117"/>
      <c r="X88" s="117"/>
      <c r="Y88" s="117"/>
      <c r="Z88" s="117"/>
      <c r="AA88" s="117"/>
      <c r="AC88" s="117"/>
      <c r="AN88" s="117"/>
    </row>
    <row r="89" spans="1:40" ht="25" customHeight="1" x14ac:dyDescent="0.3">
      <c r="A89" s="87"/>
      <c r="B89" s="115" t="s">
        <v>770</v>
      </c>
      <c r="C89" s="87"/>
      <c r="D89" s="87"/>
      <c r="E89" s="87"/>
      <c r="F89" s="87"/>
      <c r="G89" s="137"/>
      <c r="I89" s="117"/>
      <c r="J89" s="117"/>
      <c r="K89" s="117"/>
      <c r="L89" s="117"/>
      <c r="M89" s="117"/>
      <c r="N89" s="117"/>
      <c r="O89" s="117"/>
      <c r="P89" s="117"/>
      <c r="Q89" s="117"/>
      <c r="R89" s="117"/>
      <c r="S89" s="117"/>
      <c r="T89" s="117"/>
      <c r="U89" s="117"/>
      <c r="V89" s="117"/>
      <c r="W89" s="117"/>
      <c r="X89" s="117"/>
      <c r="Y89" s="117"/>
      <c r="Z89" s="117"/>
      <c r="AA89" s="117"/>
      <c r="AC89" s="117"/>
      <c r="AN89" s="117"/>
    </row>
    <row r="90" spans="1:40" ht="26" x14ac:dyDescent="0.3">
      <c r="A90" s="87"/>
      <c r="B90" s="444" t="s">
        <v>771</v>
      </c>
      <c r="C90" s="444" t="s">
        <v>772</v>
      </c>
      <c r="D90" s="444" t="s">
        <v>773</v>
      </c>
      <c r="E90" s="444" t="s">
        <v>774</v>
      </c>
      <c r="F90" s="444" t="s">
        <v>775</v>
      </c>
      <c r="G90" s="444" t="s">
        <v>776</v>
      </c>
      <c r="I90" s="133"/>
      <c r="J90" s="133"/>
      <c r="K90" s="133"/>
      <c r="L90" s="133"/>
      <c r="M90" s="133"/>
      <c r="N90" s="133"/>
      <c r="O90" s="133"/>
      <c r="P90" s="133"/>
      <c r="Q90" s="133"/>
      <c r="R90" s="133"/>
      <c r="S90" s="133"/>
      <c r="T90" s="133"/>
      <c r="U90" s="133"/>
      <c r="V90" s="133"/>
      <c r="W90" s="133"/>
      <c r="X90" s="133"/>
      <c r="Y90" s="133"/>
      <c r="Z90" s="133"/>
      <c r="AA90" s="133"/>
      <c r="AB90" s="133"/>
      <c r="AC90" s="117"/>
      <c r="AN90" s="117"/>
    </row>
    <row r="91" spans="1:40" ht="15" customHeight="1" x14ac:dyDescent="0.3">
      <c r="A91" s="293" t="str">
        <f>IF(AND($G$86=$Q$131,$G$88=$S$131,OR(B91="",C91="",D91="",E91="")),"&gt;","")</f>
        <v/>
      </c>
      <c r="B91" s="218">
        <v>500000</v>
      </c>
      <c r="C91" s="218">
        <v>100</v>
      </c>
      <c r="D91" s="234">
        <v>0.95</v>
      </c>
      <c r="E91" s="234">
        <v>0.95</v>
      </c>
      <c r="F91" s="108">
        <f>B91*E91*D91*C91</f>
        <v>45125000</v>
      </c>
      <c r="G91" s="92" t="str">
        <f>IF(ISERROR(IF(OR(G86=Q133,G86=Q132,G88=S132),0,(F91/365)/O142)),Q138,IF(OR(G86=Q133,G86=Q132,G88=S132),0,(F91/365)/O142))</f>
        <v>Requires building information</v>
      </c>
      <c r="I91" s="122"/>
      <c r="J91" s="122"/>
      <c r="K91" s="122"/>
      <c r="L91" s="122"/>
      <c r="M91" s="122"/>
      <c r="N91" s="122"/>
      <c r="O91" s="122"/>
      <c r="P91" s="122"/>
      <c r="Q91" s="122"/>
      <c r="R91" s="122"/>
      <c r="S91" s="122"/>
      <c r="T91" s="122"/>
      <c r="U91" s="122"/>
      <c r="V91" s="122"/>
      <c r="W91" s="122"/>
      <c r="X91" s="122"/>
      <c r="Y91" s="122"/>
      <c r="Z91" s="122"/>
      <c r="AA91" s="122"/>
      <c r="AB91" s="122"/>
      <c r="AC91" s="117"/>
      <c r="AN91" s="117"/>
    </row>
    <row r="92" spans="1:40" ht="25" customHeight="1" x14ac:dyDescent="0.3">
      <c r="A92" s="87"/>
      <c r="B92" s="87"/>
      <c r="C92" s="87"/>
      <c r="D92" s="87"/>
      <c r="E92" s="87"/>
      <c r="F92" s="115" t="s">
        <v>777</v>
      </c>
      <c r="G92" s="88"/>
      <c r="I92" s="133"/>
      <c r="J92" s="133"/>
      <c r="K92" s="133"/>
      <c r="L92" s="133"/>
      <c r="M92" s="133"/>
      <c r="N92" s="133"/>
      <c r="O92" s="133"/>
      <c r="P92" s="133"/>
      <c r="Q92" s="133"/>
      <c r="R92" s="133"/>
      <c r="S92" s="133"/>
      <c r="T92" s="133"/>
      <c r="U92" s="133"/>
      <c r="V92" s="133"/>
      <c r="W92" s="133"/>
      <c r="X92" s="133"/>
      <c r="Y92" s="133"/>
      <c r="Z92" s="133"/>
      <c r="AA92" s="133"/>
      <c r="AB92" s="133"/>
      <c r="AC92" s="117"/>
      <c r="AN92" s="117"/>
    </row>
    <row r="93" spans="1:40" ht="26" x14ac:dyDescent="0.3">
      <c r="A93" s="87"/>
      <c r="B93" s="87"/>
      <c r="C93" s="87"/>
      <c r="D93" s="87"/>
      <c r="E93" s="87"/>
      <c r="F93" s="444" t="s">
        <v>778</v>
      </c>
      <c r="G93" s="444" t="s">
        <v>779</v>
      </c>
      <c r="I93" s="122"/>
      <c r="J93" s="122"/>
      <c r="K93" s="122"/>
      <c r="L93" s="122"/>
      <c r="M93" s="122"/>
      <c r="N93" s="122"/>
      <c r="O93" s="122"/>
      <c r="P93" s="122"/>
      <c r="Q93" s="122"/>
      <c r="R93" s="122"/>
      <c r="S93" s="122"/>
      <c r="T93" s="122"/>
      <c r="U93" s="122"/>
      <c r="V93" s="122"/>
      <c r="W93" s="122"/>
      <c r="X93" s="122"/>
      <c r="Y93" s="122"/>
      <c r="Z93" s="122"/>
      <c r="AA93" s="122"/>
      <c r="AB93" s="122"/>
      <c r="AC93" s="117"/>
      <c r="AN93" s="117"/>
    </row>
    <row r="94" spans="1:40" ht="15" customHeight="1" x14ac:dyDescent="0.3">
      <c r="A94" s="87"/>
      <c r="B94" s="87"/>
      <c r="C94" s="87"/>
      <c r="D94" s="87"/>
      <c r="E94" s="293" t="str">
        <f>IF(AND($G$86=$Q$131,$G$88=$S$132,F94=""),"&gt;","")</f>
        <v/>
      </c>
      <c r="F94" s="218"/>
      <c r="G94" s="92">
        <f>IF(ISERROR(IF(OR(G88=S131,G86=Q133,G86=Q132),0,(F94/O142))),Q138,IF(OR(G88=S131,G86=Q133,G86=Q132),0,(F94/O142)))</f>
        <v>0</v>
      </c>
      <c r="H94" s="122"/>
      <c r="I94" s="122"/>
      <c r="J94" s="122"/>
      <c r="K94" s="122"/>
      <c r="L94" s="122"/>
      <c r="M94" s="122"/>
      <c r="N94" s="122"/>
      <c r="O94" s="122"/>
      <c r="P94" s="122"/>
      <c r="Q94" s="122"/>
      <c r="R94" s="122"/>
      <c r="S94" s="122"/>
      <c r="T94" s="122"/>
      <c r="U94" s="122"/>
      <c r="V94" s="122"/>
      <c r="W94" s="122"/>
      <c r="X94" s="122"/>
      <c r="Y94" s="122"/>
      <c r="Z94" s="122"/>
      <c r="AA94" s="122"/>
      <c r="AB94" s="122"/>
      <c r="AC94" s="117"/>
      <c r="AN94" s="117"/>
    </row>
    <row r="95" spans="1:40" ht="25" customHeight="1" x14ac:dyDescent="0.3">
      <c r="A95" s="87"/>
      <c r="B95" s="87"/>
      <c r="C95" s="87"/>
      <c r="D95" s="87"/>
      <c r="E95" s="87"/>
      <c r="F95" s="87"/>
      <c r="G95" s="88"/>
      <c r="I95" s="117"/>
      <c r="J95" s="117"/>
      <c r="K95" s="117"/>
      <c r="L95" s="117"/>
      <c r="M95" s="117"/>
      <c r="N95" s="117"/>
      <c r="O95" s="117"/>
      <c r="P95" s="117"/>
      <c r="Q95" s="117"/>
      <c r="R95" s="117"/>
      <c r="S95" s="117"/>
      <c r="T95" s="117"/>
      <c r="U95" s="117"/>
      <c r="V95" s="117"/>
      <c r="W95" s="117"/>
      <c r="X95" s="117"/>
      <c r="Y95" s="117"/>
      <c r="Z95" s="117"/>
      <c r="AA95" s="117"/>
      <c r="AC95" s="117"/>
      <c r="AN95" s="117"/>
    </row>
    <row r="96" spans="1:40" ht="32.15" customHeight="1" x14ac:dyDescent="0.3">
      <c r="A96" s="87"/>
      <c r="B96" s="422" t="s">
        <v>780</v>
      </c>
      <c r="C96" s="422"/>
      <c r="D96" s="422"/>
      <c r="E96" s="422"/>
      <c r="F96" s="422"/>
      <c r="G96" s="422"/>
      <c r="I96" s="117"/>
      <c r="J96" s="117"/>
      <c r="K96" s="117"/>
      <c r="L96" s="117"/>
      <c r="M96" s="117"/>
      <c r="N96" s="117"/>
      <c r="O96" s="117"/>
      <c r="P96" s="117"/>
      <c r="Q96" s="117"/>
      <c r="R96" s="117"/>
      <c r="S96" s="117"/>
      <c r="T96" s="117"/>
      <c r="U96" s="117"/>
      <c r="V96" s="117"/>
      <c r="W96" s="117"/>
      <c r="X96" s="117"/>
      <c r="Y96" s="117"/>
      <c r="Z96" s="117"/>
      <c r="AA96" s="117"/>
      <c r="AC96" s="117"/>
      <c r="AN96" s="117"/>
    </row>
    <row r="97" spans="1:40" ht="25" customHeight="1" x14ac:dyDescent="0.3">
      <c r="A97" s="87"/>
      <c r="B97" s="87"/>
      <c r="C97" s="87"/>
      <c r="D97" s="87"/>
      <c r="E97" s="87"/>
      <c r="F97" s="87"/>
      <c r="G97" s="88"/>
      <c r="I97" s="117"/>
      <c r="J97" s="117"/>
      <c r="K97" s="117"/>
      <c r="L97" s="117"/>
      <c r="M97" s="117"/>
      <c r="N97" s="117"/>
      <c r="O97" s="117"/>
      <c r="P97" s="117"/>
      <c r="Q97" s="117"/>
      <c r="R97" s="117"/>
      <c r="S97" s="117"/>
      <c r="T97" s="117"/>
      <c r="U97" s="117"/>
      <c r="V97" s="117"/>
      <c r="W97" s="117"/>
      <c r="X97" s="117"/>
      <c r="Y97" s="117"/>
      <c r="Z97" s="117"/>
      <c r="AA97" s="117"/>
      <c r="AC97" s="117"/>
      <c r="AN97" s="117"/>
    </row>
    <row r="98" spans="1:40" ht="25" customHeight="1" x14ac:dyDescent="0.3">
      <c r="A98" s="87"/>
      <c r="B98" s="87"/>
      <c r="C98" s="87"/>
      <c r="D98" s="87"/>
      <c r="E98" s="87"/>
      <c r="F98" s="87"/>
      <c r="G98" s="444" t="s">
        <v>781</v>
      </c>
      <c r="I98" s="117"/>
      <c r="J98" s="117"/>
      <c r="K98" s="117"/>
      <c r="L98" s="117"/>
      <c r="M98" s="117"/>
      <c r="N98" s="117"/>
      <c r="O98" s="117"/>
      <c r="P98" s="117"/>
      <c r="Q98" s="117"/>
      <c r="R98" s="117"/>
      <c r="S98" s="117"/>
      <c r="T98" s="117"/>
      <c r="U98" s="117"/>
      <c r="V98" s="117"/>
      <c r="W98" s="117"/>
      <c r="X98" s="117"/>
      <c r="Y98" s="117"/>
      <c r="Z98" s="117"/>
      <c r="AA98" s="117"/>
      <c r="AC98" s="117"/>
      <c r="AN98" s="117"/>
    </row>
    <row r="99" spans="1:40" ht="15" customHeight="1" x14ac:dyDescent="0.3">
      <c r="A99" s="87"/>
      <c r="B99" s="87"/>
      <c r="C99" s="87"/>
      <c r="D99" s="87"/>
      <c r="E99" s="87"/>
      <c r="F99" s="113" t="s">
        <v>748</v>
      </c>
      <c r="G99" s="92" t="str">
        <f>IF(ISERROR(G94+G91+G82),Q138,G94+G91+G82)</f>
        <v>Requires building information</v>
      </c>
      <c r="I99" s="117"/>
      <c r="J99" s="117"/>
      <c r="K99" s="117"/>
      <c r="L99" s="117"/>
      <c r="M99" s="117"/>
      <c r="N99" s="117"/>
      <c r="O99" s="117"/>
      <c r="P99" s="117"/>
      <c r="Q99" s="117"/>
      <c r="R99" s="117"/>
      <c r="S99" s="117"/>
      <c r="T99" s="117"/>
      <c r="U99" s="117"/>
      <c r="V99" s="117"/>
      <c r="W99" s="117"/>
      <c r="X99" s="117"/>
      <c r="Y99" s="117"/>
      <c r="Z99" s="117"/>
      <c r="AA99" s="117"/>
      <c r="AC99" s="117"/>
      <c r="AN99" s="117"/>
    </row>
    <row r="100" spans="1:40" x14ac:dyDescent="0.3">
      <c r="A100" s="87"/>
      <c r="B100" s="87"/>
      <c r="C100" s="87"/>
      <c r="D100" s="87"/>
      <c r="E100" s="87"/>
      <c r="F100" s="87"/>
      <c r="G100" s="88"/>
      <c r="I100" s="117"/>
      <c r="J100" s="117"/>
      <c r="K100" s="117"/>
      <c r="L100" s="117"/>
      <c r="M100" s="117"/>
      <c r="N100" s="117"/>
      <c r="O100" s="117"/>
      <c r="P100" s="117"/>
      <c r="Q100" s="117"/>
      <c r="R100" s="117"/>
      <c r="S100" s="117"/>
      <c r="T100" s="117"/>
      <c r="U100" s="117"/>
      <c r="V100" s="117"/>
      <c r="W100" s="117"/>
      <c r="X100" s="117"/>
      <c r="Y100" s="117"/>
      <c r="Z100" s="117"/>
      <c r="AA100" s="117"/>
      <c r="AC100" s="117"/>
      <c r="AN100" s="117"/>
    </row>
    <row r="101" spans="1:40" ht="39" customHeight="1" x14ac:dyDescent="0.3">
      <c r="A101" s="87"/>
      <c r="B101" s="87"/>
      <c r="C101" s="87"/>
      <c r="D101" s="444" t="s">
        <v>499</v>
      </c>
      <c r="E101" s="444" t="s">
        <v>782</v>
      </c>
      <c r="F101" s="444" t="s">
        <v>783</v>
      </c>
      <c r="G101" s="444" t="s">
        <v>784</v>
      </c>
      <c r="I101" s="117"/>
      <c r="J101" s="117"/>
      <c r="K101" s="117"/>
      <c r="L101" s="117"/>
      <c r="M101" s="117"/>
      <c r="N101" s="117"/>
      <c r="O101" s="117"/>
      <c r="P101" s="117"/>
      <c r="Q101" s="117"/>
      <c r="R101" s="117"/>
      <c r="S101" s="117"/>
      <c r="T101" s="117"/>
      <c r="U101" s="117"/>
      <c r="V101" s="117"/>
      <c r="W101" s="117"/>
      <c r="X101" s="117"/>
      <c r="Y101" s="117"/>
      <c r="Z101" s="117"/>
      <c r="AA101" s="117"/>
      <c r="AC101" s="117"/>
      <c r="AN101" s="117"/>
    </row>
    <row r="102" spans="1:40" ht="15" customHeight="1" x14ac:dyDescent="0.3">
      <c r="A102" s="87"/>
      <c r="B102" s="87"/>
      <c r="C102" s="293" t="str">
        <f>IF(AND(OR($G$67=$Q$130,$G$67=$Q$132,$G$67=$Q$133),OR($G$86=$Q$130,$G$86=$Q$132,$G$86=$Q$133)),"",IF(E102=$Q$132,"",IF(OR(E102="",F102=""),"&gt;","")))</f>
        <v>&gt;</v>
      </c>
      <c r="D102" s="169" t="s">
        <v>785</v>
      </c>
      <c r="E102" s="230"/>
      <c r="F102" s="231"/>
      <c r="G102" s="170">
        <f>IF(E102="no",0,F102*SUM(G30:G31))</f>
        <v>0</v>
      </c>
      <c r="I102" s="117"/>
      <c r="J102" s="117"/>
      <c r="K102" s="117"/>
      <c r="L102" s="117"/>
      <c r="M102" s="117"/>
      <c r="N102" s="117"/>
      <c r="O102" s="117"/>
      <c r="P102" s="117"/>
      <c r="Q102" s="117"/>
      <c r="R102" s="117"/>
      <c r="S102" s="117"/>
      <c r="T102" s="117"/>
      <c r="U102" s="117"/>
      <c r="V102" s="117"/>
      <c r="W102" s="117"/>
      <c r="X102" s="117"/>
      <c r="Y102" s="117"/>
      <c r="Z102" s="117"/>
      <c r="AA102" s="117"/>
      <c r="AC102" s="117"/>
      <c r="AN102" s="117"/>
    </row>
    <row r="103" spans="1:40" ht="15" customHeight="1" x14ac:dyDescent="0.3">
      <c r="A103" s="87"/>
      <c r="B103" s="87"/>
      <c r="C103" s="293" t="str">
        <f>IF(B30=R132,"",IF(AND(OR($G$67=$Q$130,$G$67=$Q$132,$G$67=$Q$133),OR($G$86=$Q$130,$G$86=$Q$132,$G$86=$Q$133)),"",IF(E103=$Q$132,"",IF(OR(E103="",F103=""),"&gt;",""))))</f>
        <v>&gt;</v>
      </c>
      <c r="D103" s="169" t="s">
        <v>786</v>
      </c>
      <c r="E103" s="230"/>
      <c r="F103" s="231"/>
      <c r="G103" s="170">
        <f>IF(OR(E103="no",B30=R132),0,F103*SUM(G34:G40))</f>
        <v>0</v>
      </c>
      <c r="I103" s="117"/>
      <c r="J103" s="117"/>
      <c r="K103" s="117"/>
      <c r="L103" s="117"/>
      <c r="M103" s="117"/>
      <c r="N103" s="117"/>
      <c r="O103" s="117"/>
      <c r="P103" s="117"/>
      <c r="Q103" s="117"/>
      <c r="R103" s="117"/>
      <c r="S103" s="117"/>
      <c r="T103" s="117"/>
      <c r="U103" s="117"/>
      <c r="V103" s="117"/>
      <c r="W103" s="117"/>
      <c r="X103" s="117"/>
      <c r="Y103" s="117"/>
      <c r="Z103" s="117"/>
      <c r="AA103" s="117"/>
      <c r="AC103" s="117"/>
      <c r="AN103" s="117"/>
    </row>
    <row r="104" spans="1:40" ht="25" customHeight="1" x14ac:dyDescent="0.3">
      <c r="A104" s="87"/>
      <c r="B104" s="87"/>
      <c r="C104" s="87"/>
      <c r="D104" s="87"/>
      <c r="E104" s="87"/>
      <c r="F104" s="87"/>
      <c r="G104" s="444" t="s">
        <v>787</v>
      </c>
      <c r="I104" s="117"/>
      <c r="J104" s="117"/>
      <c r="K104" s="117"/>
      <c r="L104" s="117"/>
      <c r="M104" s="117"/>
      <c r="N104" s="117"/>
      <c r="O104" s="117"/>
      <c r="P104" s="117"/>
      <c r="Q104" s="117"/>
      <c r="R104" s="117"/>
      <c r="S104" s="117"/>
      <c r="T104" s="117"/>
      <c r="U104" s="117"/>
      <c r="V104" s="117"/>
      <c r="W104" s="117"/>
      <c r="X104" s="117"/>
      <c r="Y104" s="117"/>
      <c r="Z104" s="117"/>
      <c r="AA104" s="117"/>
      <c r="AC104" s="117"/>
      <c r="AN104" s="117"/>
    </row>
    <row r="105" spans="1:40" ht="15" customHeight="1" x14ac:dyDescent="0.3">
      <c r="A105" s="87"/>
      <c r="B105" s="87"/>
      <c r="C105" s="87"/>
      <c r="D105" s="87"/>
      <c r="E105" s="87"/>
      <c r="F105" s="171" t="s">
        <v>748</v>
      </c>
      <c r="G105" s="92">
        <f>IF((SUM(G102:G103))&gt;G99,G99,SUM(G102:G103))</f>
        <v>0</v>
      </c>
      <c r="I105" s="117"/>
      <c r="J105" s="117"/>
      <c r="K105" s="117"/>
      <c r="L105" s="117"/>
      <c r="M105" s="117"/>
      <c r="N105" s="117"/>
      <c r="O105" s="117"/>
      <c r="P105" s="117"/>
      <c r="Q105" s="117"/>
      <c r="R105" s="117"/>
      <c r="S105" s="117"/>
      <c r="T105" s="117"/>
      <c r="U105" s="117"/>
      <c r="V105" s="117"/>
      <c r="W105" s="117"/>
      <c r="X105" s="117"/>
      <c r="Y105" s="117"/>
      <c r="Z105" s="117"/>
      <c r="AA105" s="117"/>
      <c r="AC105" s="117"/>
      <c r="AN105" s="117"/>
    </row>
    <row r="106" spans="1:40" ht="25" customHeight="1" x14ac:dyDescent="0.3">
      <c r="A106" s="87"/>
      <c r="B106" s="87"/>
      <c r="C106" s="87"/>
      <c r="D106" s="115" t="s">
        <v>788</v>
      </c>
      <c r="E106" s="87"/>
      <c r="F106" s="87"/>
      <c r="G106" s="88"/>
      <c r="I106" s="117"/>
      <c r="J106" s="117"/>
      <c r="K106" s="117"/>
      <c r="L106" s="117"/>
      <c r="M106" s="117"/>
      <c r="N106" s="117"/>
      <c r="O106" s="117"/>
      <c r="P106" s="117"/>
      <c r="Q106" s="117"/>
      <c r="R106" s="117"/>
      <c r="S106" s="117"/>
      <c r="T106" s="117"/>
      <c r="U106" s="117"/>
      <c r="V106" s="117"/>
      <c r="W106" s="117"/>
      <c r="X106" s="117"/>
      <c r="Y106" s="117"/>
      <c r="Z106" s="117"/>
      <c r="AA106" s="117"/>
      <c r="AC106" s="117"/>
      <c r="AN106" s="117"/>
    </row>
    <row r="107" spans="1:40" ht="15" customHeight="1" x14ac:dyDescent="0.3">
      <c r="A107" s="87"/>
      <c r="B107" s="87"/>
      <c r="C107" s="293" t="str">
        <f>IF(AND(OR($G$67=$Q$130,$G$67=$Q$132,$G$67=$Q$133),OR($G$86=$Q$130,$G$86=$Q$132,$G$86=$Q$133)),"",IF(G107=$Q$130,"&gt;",""))</f>
        <v>&gt;</v>
      </c>
      <c r="D107" s="214"/>
      <c r="E107" s="134"/>
      <c r="F107" s="107" t="s">
        <v>789</v>
      </c>
      <c r="G107" s="232" t="s">
        <v>699</v>
      </c>
      <c r="I107" s="117"/>
      <c r="J107" s="117"/>
      <c r="K107" s="117"/>
      <c r="L107" s="117"/>
      <c r="M107" s="117"/>
      <c r="N107" s="117"/>
      <c r="O107" s="117"/>
      <c r="P107" s="117"/>
      <c r="Q107" s="117"/>
      <c r="R107" s="117"/>
      <c r="S107" s="117"/>
      <c r="T107" s="117"/>
      <c r="U107" s="117"/>
      <c r="V107" s="117"/>
      <c r="W107" s="117"/>
      <c r="X107" s="117"/>
      <c r="Y107" s="117"/>
      <c r="Z107" s="117"/>
      <c r="AA107" s="117"/>
      <c r="AC107" s="117"/>
      <c r="AN107" s="117"/>
    </row>
    <row r="108" spans="1:40" ht="25" customHeight="1" x14ac:dyDescent="0.3">
      <c r="A108" s="87"/>
      <c r="B108" s="87"/>
      <c r="C108" s="87"/>
      <c r="D108" s="87"/>
      <c r="E108" s="87"/>
      <c r="F108" s="87"/>
      <c r="G108" s="444" t="s">
        <v>790</v>
      </c>
      <c r="I108" s="117"/>
      <c r="J108" s="117"/>
      <c r="K108" s="117"/>
      <c r="L108" s="117"/>
      <c r="M108" s="117"/>
      <c r="N108" s="117"/>
      <c r="O108" s="117"/>
      <c r="P108" s="117"/>
      <c r="Q108" s="117"/>
      <c r="R108" s="117"/>
      <c r="S108" s="117"/>
      <c r="T108" s="117"/>
      <c r="U108" s="117"/>
      <c r="V108" s="117"/>
      <c r="W108" s="117"/>
      <c r="X108" s="117"/>
      <c r="Y108" s="117"/>
      <c r="Z108" s="117"/>
      <c r="AA108" s="117"/>
      <c r="AC108" s="117"/>
      <c r="AN108" s="117"/>
    </row>
    <row r="109" spans="1:40" ht="15" customHeight="1" x14ac:dyDescent="0.3">
      <c r="A109" s="87"/>
      <c r="B109" s="87"/>
      <c r="C109" s="87"/>
      <c r="D109" s="87"/>
      <c r="E109" s="87"/>
      <c r="F109" s="87"/>
      <c r="G109" s="174" t="str">
        <f>IF(ISERROR(IF(AND(G107="yes",G105&gt;G99),0,(G99-G105)*O142)),Q138,IF(AND(G107="yes",G105&gt;G99),0,(G99-G105)*O142))</f>
        <v>Requires building information</v>
      </c>
      <c r="I109" s="117"/>
      <c r="J109" s="117"/>
      <c r="K109" s="117"/>
      <c r="L109" s="117"/>
      <c r="M109" s="117"/>
      <c r="N109" s="117"/>
      <c r="O109" s="117"/>
      <c r="P109" s="117"/>
      <c r="Q109" s="117"/>
      <c r="R109" s="117"/>
      <c r="S109" s="117"/>
      <c r="T109" s="117"/>
      <c r="U109" s="117"/>
      <c r="V109" s="117"/>
      <c r="W109" s="117"/>
      <c r="X109" s="117"/>
      <c r="Y109" s="117"/>
      <c r="Z109" s="117"/>
      <c r="AA109" s="117"/>
      <c r="AC109" s="117"/>
      <c r="AN109" s="117"/>
    </row>
    <row r="110" spans="1:40" ht="15" customHeight="1" x14ac:dyDescent="0.3">
      <c r="A110" s="87"/>
      <c r="B110" s="87"/>
      <c r="C110" s="293" t="str">
        <f>IF(AND(OR($G$67=$Q$130,$G$67=$Q$132,$G$67=$Q$133),OR($G$86=$Q$130,$G$86=$Q$132,$G$86=$Q$133)),"",IF(AND(G107=$Q$131,G110=""),"&gt;",""))</f>
        <v/>
      </c>
      <c r="D110" s="172"/>
      <c r="E110" s="173"/>
      <c r="F110" s="107" t="s">
        <v>791</v>
      </c>
      <c r="G110" s="233">
        <v>0.68</v>
      </c>
      <c r="I110" s="117"/>
      <c r="J110" s="117"/>
      <c r="K110" s="117"/>
      <c r="L110" s="117"/>
      <c r="M110" s="117"/>
      <c r="N110" s="117"/>
      <c r="O110" s="117"/>
      <c r="P110" s="117"/>
      <c r="Q110" s="117"/>
      <c r="R110" s="117"/>
      <c r="S110" s="117"/>
      <c r="T110" s="117"/>
      <c r="U110" s="117"/>
      <c r="V110" s="117"/>
      <c r="W110" s="117"/>
      <c r="X110" s="117"/>
      <c r="Y110" s="117"/>
      <c r="Z110" s="117"/>
      <c r="AA110" s="117"/>
      <c r="AC110" s="117"/>
      <c r="AN110" s="117"/>
    </row>
    <row r="111" spans="1:40" ht="25" customHeight="1" x14ac:dyDescent="0.3">
      <c r="A111" s="87"/>
      <c r="B111" s="87"/>
      <c r="C111" s="87"/>
      <c r="D111" s="87"/>
      <c r="E111" s="87"/>
      <c r="F111" s="87"/>
      <c r="G111" s="444" t="s">
        <v>792</v>
      </c>
      <c r="I111" s="117"/>
      <c r="J111" s="117"/>
      <c r="K111" s="117"/>
      <c r="L111" s="117"/>
      <c r="M111" s="117"/>
      <c r="N111" s="117"/>
      <c r="O111" s="117"/>
      <c r="P111" s="117"/>
      <c r="Q111" s="117"/>
      <c r="R111" s="117"/>
      <c r="S111" s="117"/>
      <c r="T111" s="117"/>
      <c r="U111" s="117"/>
      <c r="V111" s="117"/>
      <c r="W111" s="117"/>
      <c r="X111" s="117"/>
      <c r="Y111" s="117"/>
      <c r="Z111" s="117"/>
      <c r="AA111" s="117"/>
      <c r="AC111" s="117"/>
      <c r="AN111" s="117"/>
    </row>
    <row r="112" spans="1:40" ht="15" customHeight="1" x14ac:dyDescent="0.3">
      <c r="A112" s="87"/>
      <c r="B112" s="87"/>
      <c r="C112" s="87"/>
      <c r="D112" s="87"/>
      <c r="E112" s="87"/>
      <c r="F112" s="113" t="s">
        <v>748</v>
      </c>
      <c r="G112" s="170" t="str">
        <f>IF(ISERROR((G110*G109)/O142),Q138,(G110*G109)/O142)</f>
        <v>Requires building information</v>
      </c>
      <c r="I112" s="117"/>
      <c r="J112" s="117"/>
      <c r="K112" s="117"/>
      <c r="L112" s="117"/>
      <c r="M112" s="117"/>
      <c r="N112" s="117"/>
      <c r="O112" s="117"/>
      <c r="P112" s="117"/>
      <c r="Q112" s="117"/>
      <c r="R112" s="117"/>
      <c r="S112" s="117"/>
      <c r="T112" s="117"/>
      <c r="U112" s="117"/>
      <c r="V112" s="117"/>
      <c r="W112" s="117"/>
      <c r="X112" s="117"/>
      <c r="Y112" s="117"/>
      <c r="Z112" s="117"/>
      <c r="AA112" s="117"/>
    </row>
    <row r="113" spans="1:27" ht="15" customHeight="1" x14ac:dyDescent="0.3">
      <c r="A113" s="87"/>
      <c r="B113" s="87"/>
      <c r="C113" s="87"/>
      <c r="D113" s="87"/>
      <c r="E113" s="87"/>
      <c r="F113" s="87"/>
      <c r="G113" s="88"/>
      <c r="I113" s="117"/>
      <c r="J113" s="117"/>
      <c r="K113" s="117"/>
      <c r="L113" s="117"/>
      <c r="M113" s="117"/>
      <c r="N113" s="117"/>
      <c r="O113" s="117"/>
      <c r="P113" s="117"/>
      <c r="Q113" s="117"/>
      <c r="R113" s="117"/>
      <c r="S113" s="117"/>
      <c r="T113" s="117"/>
      <c r="U113" s="117"/>
      <c r="V113" s="117"/>
      <c r="W113" s="117"/>
      <c r="X113" s="117"/>
      <c r="Y113" s="117"/>
      <c r="Z113" s="117"/>
      <c r="AA113" s="117"/>
    </row>
    <row r="114" spans="1:27" ht="39" customHeight="1" x14ac:dyDescent="0.3">
      <c r="A114" s="87"/>
      <c r="B114" s="87"/>
      <c r="C114" s="87"/>
      <c r="D114" s="87"/>
      <c r="E114" s="87"/>
      <c r="F114" s="87"/>
      <c r="G114" s="444" t="s">
        <v>793</v>
      </c>
      <c r="I114" s="117"/>
      <c r="J114" s="117"/>
      <c r="K114" s="117"/>
      <c r="L114" s="117"/>
      <c r="M114" s="117"/>
      <c r="N114" s="117"/>
      <c r="O114" s="117"/>
      <c r="P114" s="117"/>
      <c r="Q114" s="117"/>
      <c r="R114" s="117"/>
      <c r="S114" s="117"/>
      <c r="T114" s="117"/>
      <c r="U114" s="117"/>
      <c r="V114" s="117"/>
      <c r="W114" s="117"/>
      <c r="X114" s="117"/>
      <c r="Y114" s="117"/>
      <c r="Z114" s="117"/>
      <c r="AA114" s="117"/>
    </row>
    <row r="115" spans="1:27" ht="15" customHeight="1" x14ac:dyDescent="0.3">
      <c r="A115" s="87"/>
      <c r="B115" s="87"/>
      <c r="C115" s="87"/>
      <c r="D115" s="87"/>
      <c r="E115" s="87"/>
      <c r="F115" s="113" t="s">
        <v>749</v>
      </c>
      <c r="G115" s="92" t="str">
        <f>IF(ISERROR(G105+G112),Q138,G105+G112)</f>
        <v>Requires building information</v>
      </c>
      <c r="I115" s="117"/>
      <c r="J115" s="117"/>
      <c r="K115" s="117"/>
      <c r="L115" s="117"/>
      <c r="M115" s="117"/>
      <c r="N115" s="117"/>
      <c r="O115" s="117"/>
      <c r="P115" s="117"/>
      <c r="Q115" s="117"/>
      <c r="R115" s="117"/>
      <c r="S115" s="117"/>
      <c r="T115" s="117"/>
      <c r="U115" s="117"/>
      <c r="V115" s="117"/>
      <c r="W115" s="117"/>
      <c r="X115" s="117"/>
      <c r="Y115" s="117"/>
      <c r="Z115" s="117"/>
      <c r="AA115" s="117"/>
    </row>
    <row r="116" spans="1:27" ht="25" customHeight="1" x14ac:dyDescent="0.3">
      <c r="A116" s="87"/>
      <c r="B116" s="87"/>
      <c r="C116" s="87"/>
      <c r="D116" s="87"/>
      <c r="E116" s="87"/>
      <c r="F116" s="87"/>
      <c r="G116" s="88"/>
      <c r="I116" s="117"/>
      <c r="J116" s="117"/>
      <c r="K116" s="117"/>
      <c r="L116" s="117"/>
      <c r="M116" s="117"/>
      <c r="N116" s="117"/>
      <c r="O116" s="117"/>
      <c r="P116" s="117"/>
      <c r="Q116" s="117"/>
      <c r="R116" s="117"/>
      <c r="S116" s="117"/>
      <c r="T116" s="117"/>
      <c r="U116" s="117"/>
      <c r="V116" s="117"/>
      <c r="W116" s="117"/>
      <c r="X116" s="117"/>
      <c r="Y116" s="117"/>
      <c r="Z116" s="117"/>
      <c r="AA116" s="117"/>
    </row>
    <row r="117" spans="1:27" ht="32.15" customHeight="1" x14ac:dyDescent="0.3">
      <c r="A117" s="87"/>
      <c r="B117" s="422" t="s">
        <v>794</v>
      </c>
      <c r="C117" s="422"/>
      <c r="D117" s="422"/>
      <c r="E117" s="422"/>
      <c r="F117" s="422"/>
      <c r="G117" s="422"/>
      <c r="I117" s="117"/>
      <c r="J117" s="117"/>
      <c r="K117" s="117"/>
      <c r="L117" s="117"/>
      <c r="M117" s="117"/>
      <c r="N117" s="117"/>
      <c r="O117" s="117"/>
      <c r="P117" s="117"/>
      <c r="Q117" s="117"/>
      <c r="R117" s="117"/>
      <c r="S117" s="117"/>
      <c r="T117" s="117"/>
      <c r="U117" s="117"/>
      <c r="V117" s="117"/>
      <c r="W117" s="117"/>
      <c r="X117" s="117"/>
      <c r="Y117" s="117"/>
      <c r="Z117" s="117"/>
      <c r="AA117" s="117"/>
    </row>
    <row r="118" spans="1:27" ht="25" customHeight="1" x14ac:dyDescent="0.3">
      <c r="A118" s="87"/>
      <c r="B118" s="87"/>
      <c r="C118" s="136"/>
      <c r="D118" s="87"/>
      <c r="E118" s="87"/>
      <c r="F118" s="87"/>
      <c r="G118" s="88"/>
      <c r="I118" s="117"/>
      <c r="J118" s="117"/>
      <c r="K118" s="117"/>
      <c r="L118" s="117"/>
      <c r="M118" s="117"/>
      <c r="N118" s="117"/>
      <c r="O118" s="117"/>
      <c r="P118" s="117"/>
      <c r="Q118" s="117"/>
      <c r="R118" s="117"/>
      <c r="S118" s="117"/>
      <c r="T118" s="117"/>
      <c r="U118" s="117"/>
      <c r="V118" s="117"/>
      <c r="W118" s="117"/>
      <c r="X118" s="117"/>
      <c r="Y118" s="117"/>
      <c r="Z118" s="117"/>
      <c r="AA118" s="117"/>
    </row>
    <row r="119" spans="1:27" ht="25" customHeight="1" x14ac:dyDescent="0.3">
      <c r="A119" s="87"/>
      <c r="B119" s="87"/>
      <c r="C119" s="136"/>
      <c r="E119" s="87"/>
      <c r="F119" s="444" t="s">
        <v>738</v>
      </c>
      <c r="G119" s="444" t="s">
        <v>795</v>
      </c>
      <c r="I119" s="117"/>
      <c r="J119" s="117"/>
      <c r="K119" s="117"/>
      <c r="L119" s="117"/>
      <c r="M119" s="117"/>
      <c r="N119" s="117"/>
      <c r="O119" s="117"/>
      <c r="P119" s="117"/>
      <c r="Q119" s="117"/>
      <c r="R119" s="117"/>
      <c r="S119" s="117"/>
      <c r="T119" s="117"/>
      <c r="U119" s="117"/>
      <c r="V119" s="117"/>
      <c r="W119" s="117"/>
      <c r="X119" s="117"/>
      <c r="Y119" s="117"/>
      <c r="Z119" s="117"/>
      <c r="AA119" s="117"/>
    </row>
    <row r="120" spans="1:27" ht="15" customHeight="1" x14ac:dyDescent="0.3">
      <c r="A120" s="87"/>
      <c r="B120" s="447"/>
      <c r="C120" s="448"/>
      <c r="D120" s="448"/>
      <c r="E120" s="449" t="s">
        <v>796</v>
      </c>
      <c r="F120" s="175" t="str">
        <f>IF(ISERROR(R63),Q138,R63)</f>
        <v>Requires building information</v>
      </c>
      <c r="G120" s="175" t="str">
        <f>IF(ISERROR((F120/1000)*$F$13),Q138,(F120/1000)*$F$13)</f>
        <v>Requires building information</v>
      </c>
      <c r="I120" s="117"/>
      <c r="J120" s="117"/>
      <c r="K120" s="117"/>
      <c r="L120" s="117"/>
      <c r="M120" s="117"/>
      <c r="N120" s="117"/>
      <c r="O120" s="117"/>
      <c r="P120" s="117"/>
      <c r="Q120" s="117"/>
      <c r="R120" s="117"/>
      <c r="S120" s="117"/>
      <c r="T120" s="117"/>
      <c r="U120" s="117"/>
      <c r="V120" s="117"/>
      <c r="W120" s="117"/>
      <c r="X120" s="117"/>
      <c r="Y120" s="117"/>
      <c r="Z120" s="117"/>
      <c r="AA120" s="117"/>
    </row>
    <row r="121" spans="1:27" x14ac:dyDescent="0.3">
      <c r="A121" s="87"/>
      <c r="B121" s="87"/>
      <c r="C121" s="87"/>
      <c r="D121" s="87"/>
      <c r="E121" s="136"/>
      <c r="F121" s="138"/>
      <c r="G121" s="88"/>
      <c r="I121" s="117"/>
      <c r="J121" s="117"/>
      <c r="K121" s="117"/>
      <c r="L121" s="117"/>
      <c r="M121" s="117"/>
      <c r="N121" s="117"/>
      <c r="O121" s="117"/>
      <c r="P121" s="117"/>
      <c r="Q121" s="117"/>
      <c r="R121" s="474" t="s">
        <v>807</v>
      </c>
      <c r="S121" s="117"/>
      <c r="T121" s="117"/>
      <c r="U121" s="117"/>
      <c r="V121" s="117"/>
      <c r="W121" s="117"/>
      <c r="X121" s="117"/>
      <c r="Y121" s="117"/>
      <c r="Z121" s="117"/>
      <c r="AA121" s="117"/>
    </row>
    <row r="122" spans="1:27" ht="15" customHeight="1" x14ac:dyDescent="0.3">
      <c r="A122" s="87"/>
      <c r="B122" s="450"/>
      <c r="C122" s="442"/>
      <c r="D122" s="448"/>
      <c r="E122" s="449" t="s">
        <v>797</v>
      </c>
      <c r="F122" s="175" t="str">
        <f>IF(ISERROR(G63-R66),Q138,G63-R66)</f>
        <v>Requires building information</v>
      </c>
      <c r="G122" s="175" t="str">
        <f>IF(ISERROR((F122/1000)*$F$13),Q138,(F122/1000)*$F$13)</f>
        <v>Requires building information</v>
      </c>
      <c r="I122" s="117"/>
      <c r="J122" s="117"/>
      <c r="K122" s="117"/>
      <c r="L122" s="117"/>
      <c r="M122" s="117"/>
      <c r="N122" s="142" t="s">
        <v>800</v>
      </c>
      <c r="O122" s="140"/>
      <c r="P122" s="117"/>
      <c r="Q122" s="117"/>
      <c r="R122" s="475" t="s">
        <v>699</v>
      </c>
      <c r="S122" s="117"/>
      <c r="T122" s="117"/>
      <c r="U122" s="117"/>
      <c r="V122" s="117"/>
      <c r="W122" s="117"/>
      <c r="X122" s="117"/>
      <c r="Y122" s="117"/>
      <c r="Z122" s="117"/>
      <c r="AA122" s="117"/>
    </row>
    <row r="123" spans="1:27" x14ac:dyDescent="0.3">
      <c r="A123" s="87"/>
      <c r="B123" s="87"/>
      <c r="C123" s="87"/>
      <c r="D123" s="87"/>
      <c r="E123" s="136"/>
      <c r="F123" s="138"/>
      <c r="G123" s="138"/>
      <c r="I123" s="117"/>
      <c r="J123" s="117"/>
      <c r="K123" s="117"/>
      <c r="L123" s="117"/>
      <c r="M123" s="117"/>
      <c r="N123" s="143" t="e">
        <f>1-(F122-F124)/F120</f>
        <v>#VALUE!</v>
      </c>
      <c r="O123" s="140" t="s">
        <v>802</v>
      </c>
      <c r="P123" s="117"/>
      <c r="Q123" s="117"/>
      <c r="R123" s="475" t="s">
        <v>813</v>
      </c>
      <c r="S123" s="117"/>
      <c r="T123" s="117"/>
      <c r="U123" s="117"/>
      <c r="V123" s="117"/>
      <c r="W123" s="117"/>
      <c r="X123" s="117"/>
      <c r="Y123" s="117"/>
      <c r="Z123" s="117"/>
      <c r="AA123" s="117"/>
    </row>
    <row r="124" spans="1:27" ht="15" customHeight="1" x14ac:dyDescent="0.3">
      <c r="A124" s="87"/>
      <c r="B124" s="450"/>
      <c r="C124" s="442"/>
      <c r="D124" s="448"/>
      <c r="E124" s="449" t="s">
        <v>798</v>
      </c>
      <c r="F124" s="175" t="str">
        <f>IF(ISERROR(G115),Q138,G115)</f>
        <v>Requires building information</v>
      </c>
      <c r="G124" s="175" t="str">
        <f>IF(ISERROR((F124/1000)*$F$13),Q138,(F124/1000)*$F$13)</f>
        <v>Requires building information</v>
      </c>
      <c r="H124" s="119"/>
      <c r="I124" s="139"/>
      <c r="J124" s="139"/>
      <c r="K124" s="139"/>
      <c r="L124" s="139"/>
      <c r="M124" s="117"/>
      <c r="N124" s="144"/>
      <c r="O124" s="140"/>
      <c r="P124" s="117"/>
      <c r="Q124" s="117"/>
      <c r="R124" s="475" t="s">
        <v>816</v>
      </c>
      <c r="S124" s="117"/>
      <c r="T124" s="117"/>
      <c r="U124" s="117"/>
      <c r="V124" s="117"/>
      <c r="W124" s="117"/>
      <c r="X124" s="117"/>
      <c r="Y124" s="117"/>
      <c r="Z124" s="117"/>
      <c r="AA124" s="117"/>
    </row>
    <row r="125" spans="1:27" x14ac:dyDescent="0.3">
      <c r="A125" s="87"/>
      <c r="B125" s="87"/>
      <c r="C125" s="87"/>
      <c r="D125" s="87"/>
      <c r="E125" s="136"/>
      <c r="F125" s="138"/>
      <c r="G125" s="138"/>
      <c r="H125" s="119"/>
      <c r="I125" s="117"/>
      <c r="J125" s="117"/>
      <c r="K125" s="117"/>
      <c r="L125" s="117"/>
      <c r="M125" s="117"/>
      <c r="N125" s="143" t="e">
        <f>VLOOKUP(N123,CreditsEdu,2,TRUE)</f>
        <v>#VALUE!</v>
      </c>
      <c r="O125" s="140" t="s">
        <v>804</v>
      </c>
      <c r="P125" s="117"/>
      <c r="Q125" s="117"/>
      <c r="R125" s="475" t="s">
        <v>818</v>
      </c>
      <c r="S125" s="117"/>
      <c r="T125" s="117"/>
      <c r="U125" s="117"/>
      <c r="V125" s="117"/>
      <c r="W125" s="117"/>
      <c r="X125" s="117"/>
      <c r="Y125" s="117"/>
      <c r="Z125" s="117"/>
      <c r="AA125" s="117"/>
    </row>
    <row r="126" spans="1:27" ht="15" customHeight="1" x14ac:dyDescent="0.3">
      <c r="A126" s="87"/>
      <c r="B126" s="447"/>
      <c r="C126" s="448"/>
      <c r="D126" s="448"/>
      <c r="E126" s="449" t="s">
        <v>799</v>
      </c>
      <c r="F126" s="175" t="str">
        <f>IF(ISERROR(IF(AND((OR(G86=Q133,G86=Q132)),((OR(G67=Q133,G67=Q132)))),Q133,IF(OR(N125="1 credit",N125="2 credits",N125="3 credits"),Q136,IF(OR(N125="4 credits",N125="5 credits"),(IF((1-(F122/F120))&lt;0.25,"No","Yes")))))),Q138,IF(AND((OR(G86=Q133,G86=Q132)),((OR(G67=Q133,G67=Q132)))),Q133,IF(OR(N125="1 credit",N125="2 credits",N125="3 credits"),Q136,IF(OR(N125="4 credits",N125="5 credits"),(IF((1-(F122/F120))&lt;0.25,"No","Yes"))))))</f>
        <v>Requires building information</v>
      </c>
      <c r="G126" s="138"/>
      <c r="H126" s="119"/>
      <c r="I126" s="141"/>
      <c r="J126" s="141"/>
      <c r="K126" s="141"/>
      <c r="L126" s="141"/>
      <c r="M126" s="87"/>
      <c r="N126" s="140"/>
      <c r="O126" s="117"/>
      <c r="P126" s="117"/>
      <c r="Q126" s="117"/>
      <c r="R126" s="117"/>
      <c r="S126" s="117"/>
      <c r="T126" s="117"/>
      <c r="U126" s="117"/>
      <c r="V126" s="117"/>
      <c r="W126" s="117"/>
      <c r="X126" s="117"/>
      <c r="Y126" s="117"/>
      <c r="Z126" s="117"/>
      <c r="AA126" s="117"/>
    </row>
    <row r="127" spans="1:27" ht="25" customHeight="1" x14ac:dyDescent="0.3">
      <c r="A127" s="87"/>
      <c r="B127" s="87"/>
      <c r="C127" s="87"/>
      <c r="D127" s="87"/>
      <c r="E127" s="136"/>
      <c r="F127" s="138"/>
      <c r="G127" s="138"/>
      <c r="H127" s="119"/>
      <c r="I127" s="117"/>
      <c r="J127" s="117"/>
      <c r="K127" s="117"/>
      <c r="L127" s="117"/>
      <c r="M127" s="87"/>
      <c r="N127" s="128"/>
      <c r="O127" s="117"/>
      <c r="P127" s="117"/>
      <c r="Q127" s="117"/>
      <c r="R127" s="117"/>
      <c r="S127" s="117"/>
      <c r="T127" s="117"/>
      <c r="U127" s="117"/>
      <c r="V127" s="117"/>
      <c r="W127" s="117"/>
      <c r="X127" s="117"/>
      <c r="Y127" s="117"/>
      <c r="Z127" s="117"/>
      <c r="AA127" s="117"/>
    </row>
    <row r="128" spans="1:27" ht="15" customHeight="1" x14ac:dyDescent="0.3">
      <c r="A128" s="87"/>
      <c r="B128" s="450"/>
      <c r="C128" s="442"/>
      <c r="D128" s="448"/>
      <c r="E128" s="449" t="s">
        <v>801</v>
      </c>
      <c r="F128" s="175" t="str">
        <f>IF(ISERROR(IF(OR(F126="Yes",F126=Q133),F122-F124,(F122-((1-(F122/F120))*F124)))),Q138,IF(OR(F126="Yes",F126=Q133),F122-F124,(F122-((1-(F122/F120))*F124))))</f>
        <v>Requires building information</v>
      </c>
      <c r="G128" s="175" t="str">
        <f>IF(ISERROR((F128/1000)*$F$13),Q138,((F128/1000)*$F$13))</f>
        <v>Requires building information</v>
      </c>
      <c r="H128" s="119"/>
      <c r="I128" s="128"/>
      <c r="J128" s="128"/>
      <c r="K128" s="128"/>
      <c r="L128" s="128"/>
      <c r="M128" s="87"/>
      <c r="N128" s="140"/>
      <c r="O128" s="117"/>
      <c r="P128" s="117"/>
      <c r="Q128" s="117"/>
      <c r="R128" s="117"/>
      <c r="S128" s="117"/>
      <c r="T128" s="117"/>
      <c r="U128" s="117"/>
      <c r="V128" s="117"/>
      <c r="W128" s="117"/>
      <c r="X128" s="117"/>
      <c r="Y128" s="117"/>
      <c r="Z128" s="117"/>
      <c r="AA128" s="117"/>
    </row>
    <row r="129" spans="1:27" x14ac:dyDescent="0.3">
      <c r="A129" s="87"/>
      <c r="B129" s="87"/>
      <c r="C129" s="87"/>
      <c r="D129" s="87"/>
      <c r="E129" s="136"/>
      <c r="F129" s="138"/>
      <c r="G129" s="138"/>
      <c r="H129" s="119"/>
      <c r="I129" s="117"/>
      <c r="J129" s="117"/>
      <c r="K129" s="117"/>
      <c r="L129" s="117"/>
      <c r="M129" s="87"/>
      <c r="N129" s="140"/>
      <c r="O129" s="117"/>
      <c r="P129" s="117"/>
      <c r="Q129" s="117"/>
      <c r="R129" s="117"/>
      <c r="S129" s="117"/>
      <c r="T129" s="117"/>
      <c r="U129" s="117"/>
      <c r="V129" s="117"/>
      <c r="W129" s="117"/>
      <c r="X129" s="117"/>
      <c r="Y129" s="117"/>
      <c r="Z129" s="117"/>
      <c r="AA129" s="117"/>
    </row>
    <row r="130" spans="1:27" ht="15" customHeight="1" x14ac:dyDescent="0.3">
      <c r="A130" s="87"/>
      <c r="B130" s="450"/>
      <c r="C130" s="442"/>
      <c r="D130" s="448"/>
      <c r="E130" s="449" t="s">
        <v>803</v>
      </c>
      <c r="F130" s="176" t="str">
        <f>IF(OR(F120=Q138,F122=Q138,F124=Q138,F126=Q138),Q138,IF(OR(F126="yes",F126=Q136,F126=Q133),N123,(IF(F126="No",1-((F122-(F124*(1-(F122/F120))))/F120)))))</f>
        <v>Requires building information</v>
      </c>
      <c r="G130" s="88"/>
      <c r="H130" s="119"/>
      <c r="I130" s="117"/>
      <c r="J130" s="117"/>
      <c r="K130" s="117"/>
      <c r="L130" s="117"/>
      <c r="N130" s="117"/>
      <c r="O130" s="117"/>
      <c r="P130" s="117" t="s">
        <v>699</v>
      </c>
      <c r="Q130" s="117" t="s">
        <v>699</v>
      </c>
      <c r="R130" s="117" t="s">
        <v>699</v>
      </c>
      <c r="S130" s="117" t="s">
        <v>699</v>
      </c>
      <c r="T130" s="147">
        <v>0</v>
      </c>
      <c r="U130" s="117"/>
      <c r="V130" s="117"/>
      <c r="W130" s="117"/>
      <c r="X130" s="117"/>
      <c r="Y130" s="117"/>
      <c r="Z130" s="117"/>
      <c r="AA130" s="117"/>
    </row>
    <row r="131" spans="1:27" x14ac:dyDescent="0.3">
      <c r="A131" s="87"/>
      <c r="B131" s="87"/>
      <c r="C131" s="87"/>
      <c r="D131" s="87"/>
      <c r="E131" s="113"/>
      <c r="F131" s="145"/>
      <c r="G131" s="88"/>
      <c r="H131" s="119"/>
      <c r="I131" s="117"/>
      <c r="J131" s="117"/>
      <c r="K131" s="117"/>
      <c r="L131" s="117"/>
      <c r="M131" s="146"/>
      <c r="N131" s="119"/>
      <c r="O131" s="133" t="s">
        <v>809</v>
      </c>
      <c r="P131" s="117" t="s">
        <v>810</v>
      </c>
      <c r="Q131" s="117" t="s">
        <v>811</v>
      </c>
      <c r="R131" s="128" t="str">
        <f>'Activity database'!I3</f>
        <v>WC - male (urinals installed)</v>
      </c>
      <c r="S131" s="149" t="s">
        <v>812</v>
      </c>
      <c r="T131" s="147">
        <v>0.01</v>
      </c>
      <c r="U131" s="117"/>
      <c r="V131" s="117"/>
      <c r="W131" s="117"/>
      <c r="X131" s="117"/>
      <c r="Y131" s="117"/>
      <c r="Z131" s="117"/>
      <c r="AA131" s="117"/>
    </row>
    <row r="132" spans="1:27" ht="15" customHeight="1" x14ac:dyDescent="0.3">
      <c r="A132" s="87"/>
      <c r="B132" s="450"/>
      <c r="C132" s="442"/>
      <c r="D132" s="448"/>
      <c r="E132" s="449" t="s">
        <v>805</v>
      </c>
      <c r="F132" s="177" t="str">
        <f>IF(ISERROR(VLOOKUP(F130,CreditsEdu,2,TRUE)),Q138,VLOOKUP(F130,CreditsEdu,2,TRUE))</f>
        <v>Requires building information</v>
      </c>
      <c r="G132" s="88"/>
      <c r="H132" s="119"/>
      <c r="I132" s="128"/>
      <c r="J132" s="128"/>
      <c r="K132" s="128"/>
      <c r="L132" s="128"/>
      <c r="M132" s="128"/>
      <c r="N132" s="130" t="str">
        <f t="shared" ref="N132:N141" si="5">B16</f>
        <v>Education - Seminar rooms/areas</v>
      </c>
      <c r="O132" s="132">
        <f>IF(F16="Yes",VLOOKUP(B16,'Activity database'!A:BO,3,FALSE)*G16,0)</f>
        <v>0</v>
      </c>
      <c r="P132" s="117" t="s">
        <v>814</v>
      </c>
      <c r="Q132" s="117" t="s">
        <v>753</v>
      </c>
      <c r="R132" s="128" t="str">
        <f>'Activity database'!J3</f>
        <v>WC - male (no urinals installed)</v>
      </c>
      <c r="S132" s="149" t="s">
        <v>815</v>
      </c>
      <c r="T132" s="147">
        <v>0.02</v>
      </c>
      <c r="U132" s="117"/>
      <c r="V132" s="117"/>
      <c r="W132" s="117"/>
      <c r="X132" s="117"/>
      <c r="Y132" s="117"/>
      <c r="Z132" s="117"/>
      <c r="AA132" s="117"/>
    </row>
    <row r="133" spans="1:27" ht="15" customHeight="1" x14ac:dyDescent="0.3">
      <c r="A133" s="87"/>
      <c r="B133" s="87"/>
      <c r="C133" s="87"/>
      <c r="D133" s="87"/>
      <c r="E133" s="113"/>
      <c r="F133" s="91"/>
      <c r="G133" s="88"/>
      <c r="H133" s="119"/>
      <c r="I133" s="117"/>
      <c r="J133" s="117"/>
      <c r="K133" s="117"/>
      <c r="L133" s="117"/>
      <c r="M133" s="147"/>
      <c r="N133" s="130" t="str">
        <f t="shared" si="5"/>
        <v>Education - Staff office and adminstration areas</v>
      </c>
      <c r="O133" s="132">
        <f>IF(F17="Yes",VLOOKUP(B17,'Activity database'!A:BO,3,FALSE)*G17,0)</f>
        <v>0</v>
      </c>
      <c r="P133" s="117"/>
      <c r="Q133" s="117" t="s">
        <v>817</v>
      </c>
      <c r="R133" s="117"/>
      <c r="S133" s="117"/>
      <c r="T133" s="147">
        <v>0.03</v>
      </c>
      <c r="U133" s="117"/>
      <c r="V133" s="117"/>
      <c r="W133" s="117"/>
      <c r="X133" s="117"/>
      <c r="Y133" s="117"/>
      <c r="Z133" s="117"/>
      <c r="AA133" s="117"/>
    </row>
    <row r="134" spans="1:27" ht="15" customHeight="1" x14ac:dyDescent="0.3">
      <c r="A134" s="87"/>
      <c r="B134" s="450"/>
      <c r="C134" s="442"/>
      <c r="D134" s="448"/>
      <c r="E134" s="449" t="s">
        <v>835</v>
      </c>
      <c r="F134" s="177" t="str">
        <f>IF(F130=Q138,Q138,IF(F130&gt;=ExempEdu,"1 innovation credit achieved","Exemplary level not achieved"))</f>
        <v>Requires building information</v>
      </c>
      <c r="G134" s="88"/>
      <c r="H134" s="148"/>
      <c r="I134" s="128"/>
      <c r="J134" s="128"/>
      <c r="K134" s="128"/>
      <c r="L134" s="128"/>
      <c r="M134" s="147"/>
      <c r="N134" s="130" t="str">
        <f t="shared" si="5"/>
        <v>Education - Common room</v>
      </c>
      <c r="O134" s="132">
        <f>IF(F18="Yes",VLOOKUP(B18,'Activity database'!A:BO,3,FALSE)*G18,0)</f>
        <v>0</v>
      </c>
      <c r="P134" s="117"/>
      <c r="Q134" s="117"/>
      <c r="R134" s="121" t="s">
        <v>699</v>
      </c>
      <c r="S134" s="117"/>
      <c r="T134" s="147">
        <v>0.04</v>
      </c>
      <c r="U134" s="117"/>
      <c r="V134" s="117"/>
      <c r="W134" s="117"/>
      <c r="X134" s="117"/>
      <c r="Y134" s="117"/>
      <c r="Z134" s="117"/>
      <c r="AA134" s="117"/>
    </row>
    <row r="135" spans="1:27" ht="15" customHeight="1" x14ac:dyDescent="0.3">
      <c r="A135" s="87"/>
      <c r="B135" s="87"/>
      <c r="C135" s="87"/>
      <c r="D135" s="87"/>
      <c r="E135" s="87"/>
      <c r="F135" s="87"/>
      <c r="G135" s="88"/>
      <c r="H135" s="119"/>
      <c r="I135" s="117"/>
      <c r="J135" s="117"/>
      <c r="K135" s="117"/>
      <c r="L135" s="117"/>
      <c r="M135" s="117"/>
      <c r="N135" s="130" t="str">
        <f t="shared" si="5"/>
        <v>Education - dining area</v>
      </c>
      <c r="O135" s="132">
        <f>IF(OR(F19=Q132,F19=Q130),0,IF(OR(B13=R135,B13=R136),IF(O132&lt;300,G19*0.9*2*0.025,IF(O132&gt;=300,G19*0.9*3*0.025)),IF(OR(B13=R137,B13=R138),VLOOKUP(B19,'Activity database'!A:BO,3,FALSE)*G19)))</f>
        <v>0</v>
      </c>
      <c r="P135" s="117"/>
      <c r="Q135" s="117"/>
      <c r="R135" s="140" t="str">
        <f>'Activity database'!A17</f>
        <v xml:space="preserve">Education - Pre-schools </v>
      </c>
      <c r="S135" s="117"/>
      <c r="T135" s="147">
        <v>0.05</v>
      </c>
      <c r="U135" s="117"/>
      <c r="V135" s="117"/>
      <c r="W135" s="117"/>
      <c r="X135" s="117"/>
      <c r="Y135" s="117"/>
      <c r="Z135" s="117"/>
      <c r="AA135" s="117"/>
    </row>
    <row r="136" spans="1:27" ht="15" customHeight="1" x14ac:dyDescent="0.3">
      <c r="A136" s="87"/>
      <c r="B136" s="450"/>
      <c r="C136" s="442"/>
      <c r="D136" s="448"/>
      <c r="E136" s="449" t="s">
        <v>808</v>
      </c>
      <c r="F136" s="175" t="str">
        <f>IF(ISERROR(F122+R66-F124),Q138,F122+R66-F124)</f>
        <v>Requires building information</v>
      </c>
      <c r="G136" s="175" t="str">
        <f>IF(ISERROR((F136/1000)*$F$13),Q138,(F136/1000)*$F$13)</f>
        <v>Requires building information</v>
      </c>
      <c r="H136" s="119"/>
      <c r="I136" s="117"/>
      <c r="J136" s="117"/>
      <c r="K136" s="117"/>
      <c r="L136" s="117"/>
      <c r="M136" s="128"/>
      <c r="N136" s="130" t="str">
        <f t="shared" si="5"/>
        <v>Sporting facility with changing rooms and showers</v>
      </c>
      <c r="O136" s="132">
        <f>IF(F20="Yes",VLOOKUP(B20,'Activity database'!A:BO,3,FALSE)*G20,0)</f>
        <v>0</v>
      </c>
      <c r="P136" s="154"/>
      <c r="Q136" s="117" t="s">
        <v>819</v>
      </c>
      <c r="R136" s="140" t="str">
        <f>'Activity database'!A18</f>
        <v>Education - Schools and colleges</v>
      </c>
      <c r="S136" s="117"/>
      <c r="T136" s="147">
        <v>0.06</v>
      </c>
      <c r="U136" s="117"/>
      <c r="V136" s="117"/>
      <c r="W136" s="117"/>
      <c r="X136" s="117"/>
      <c r="Y136" s="117"/>
      <c r="Z136" s="117"/>
      <c r="AA136" s="117"/>
    </row>
    <row r="137" spans="1:27" x14ac:dyDescent="0.3">
      <c r="A137" s="87"/>
      <c r="B137" s="87"/>
      <c r="C137" s="87"/>
      <c r="D137" s="150"/>
      <c r="E137" s="151"/>
      <c r="F137" s="87"/>
      <c r="G137" s="88"/>
      <c r="H137" s="119"/>
      <c r="I137" s="117"/>
      <c r="J137" s="117"/>
      <c r="K137" s="117"/>
      <c r="L137" s="117"/>
      <c r="M137" s="128"/>
      <c r="N137" s="130" t="str">
        <f t="shared" si="5"/>
        <v>Education - Lecture theatre</v>
      </c>
      <c r="O137" s="132">
        <f>IF(F21="Yes",VLOOKUP(B21,'Activity database'!A:BO,3,FALSE)*G21,0)</f>
        <v>0</v>
      </c>
      <c r="P137" s="117"/>
      <c r="Q137" s="117"/>
      <c r="R137" s="140" t="str">
        <f>'Activity database'!A19</f>
        <v>Education - Universities</v>
      </c>
      <c r="S137" s="117"/>
      <c r="T137" s="147">
        <v>7.0000000000000007E-2</v>
      </c>
      <c r="U137" s="117"/>
      <c r="V137" s="117"/>
      <c r="W137" s="117"/>
      <c r="X137" s="117"/>
      <c r="Y137" s="117"/>
      <c r="Z137" s="117"/>
      <c r="AA137" s="117"/>
    </row>
    <row r="138" spans="1:27" x14ac:dyDescent="0.3">
      <c r="A138" s="87"/>
      <c r="B138" s="87"/>
      <c r="C138" s="87"/>
      <c r="D138" s="152"/>
      <c r="E138" s="151"/>
      <c r="F138" s="87"/>
      <c r="G138" s="88"/>
      <c r="H138" s="119"/>
      <c r="I138" s="117"/>
      <c r="J138" s="117"/>
      <c r="K138" s="117"/>
      <c r="L138" s="117"/>
      <c r="M138" s="153"/>
      <c r="N138" s="130" t="str">
        <f t="shared" si="5"/>
        <v>Education - Study area</v>
      </c>
      <c r="O138" s="132">
        <f>IF(F22="Yes",VLOOKUP(B22,'Activity database'!A:BO,3,FALSE)*G22,0)</f>
        <v>0</v>
      </c>
      <c r="P138" s="154"/>
      <c r="Q138" s="117" t="s">
        <v>820</v>
      </c>
      <c r="R138" s="140" t="str">
        <f>'Activity database'!A20</f>
        <v>Education - Higher education institutions</v>
      </c>
      <c r="S138" s="117"/>
      <c r="T138" s="147">
        <v>0.08</v>
      </c>
      <c r="U138" s="117"/>
      <c r="V138" s="117"/>
      <c r="W138" s="117"/>
      <c r="X138" s="117"/>
      <c r="Y138" s="117"/>
      <c r="Z138" s="117"/>
      <c r="AA138" s="117"/>
    </row>
    <row r="139" spans="1:27" x14ac:dyDescent="0.3">
      <c r="A139" s="87"/>
      <c r="B139" s="87"/>
      <c r="C139" s="87"/>
      <c r="D139" s="152"/>
      <c r="E139" s="151"/>
      <c r="F139" s="87"/>
      <c r="G139" s="88"/>
      <c r="H139" s="119"/>
      <c r="I139" s="117"/>
      <c r="J139" s="117"/>
      <c r="K139" s="117"/>
      <c r="L139" s="117"/>
      <c r="M139" s="117"/>
      <c r="N139" s="130" t="str">
        <f t="shared" si="5"/>
        <v>Education - Workshop</v>
      </c>
      <c r="O139" s="132">
        <f>IF(F23="Yes",VLOOKUP(B23,'Activity database'!A:BO,3,FALSE)*G23,0)</f>
        <v>0</v>
      </c>
      <c r="P139" s="154"/>
      <c r="Q139" s="117"/>
      <c r="R139" s="140"/>
      <c r="S139" s="117"/>
      <c r="T139" s="147">
        <v>0.09</v>
      </c>
      <c r="U139" s="117"/>
      <c r="V139" s="117"/>
      <c r="W139" s="117"/>
      <c r="X139" s="117"/>
      <c r="Y139" s="139"/>
      <c r="Z139" s="117"/>
      <c r="AA139" s="117"/>
    </row>
    <row r="140" spans="1:27" x14ac:dyDescent="0.3">
      <c r="A140" s="87"/>
      <c r="B140" s="87"/>
      <c r="C140" s="87"/>
      <c r="D140" s="152"/>
      <c r="E140" s="151"/>
      <c r="F140" s="87"/>
      <c r="G140" s="88"/>
      <c r="I140" s="117"/>
      <c r="J140" s="117"/>
      <c r="K140" s="117"/>
      <c r="L140" s="117"/>
      <c r="M140" s="117"/>
      <c r="N140" s="130" t="str">
        <f t="shared" si="5"/>
        <v>Education - Information Technology space</v>
      </c>
      <c r="O140" s="132">
        <f>IF(F24="Yes",VLOOKUP(B24,'Activity database'!A:BO,3,FALSE)*G24,0)</f>
        <v>0</v>
      </c>
      <c r="P140" s="117"/>
      <c r="Q140" s="117"/>
      <c r="R140" s="117"/>
      <c r="S140" s="117"/>
      <c r="T140" s="147">
        <v>0.1</v>
      </c>
      <c r="U140" s="117"/>
      <c r="V140" s="117"/>
      <c r="W140" s="117"/>
      <c r="X140" s="117"/>
      <c r="Y140" s="117"/>
      <c r="Z140" s="117"/>
      <c r="AA140" s="117"/>
    </row>
    <row r="141" spans="1:27" x14ac:dyDescent="0.3">
      <c r="A141" s="87"/>
      <c r="B141" s="87"/>
      <c r="C141" s="87"/>
      <c r="D141" s="152"/>
      <c r="E141" s="151"/>
      <c r="F141" s="87"/>
      <c r="G141" s="88"/>
      <c r="I141" s="117"/>
      <c r="J141" s="117"/>
      <c r="K141" s="117"/>
      <c r="L141" s="117"/>
      <c r="M141" s="117"/>
      <c r="N141" s="130" t="str">
        <f t="shared" si="5"/>
        <v>Education - Laboratory</v>
      </c>
      <c r="O141" s="132">
        <f>IF(F25="Yes",VLOOKUP(B25,'Activity database'!A:BO,3,FALSE)*G25,0)</f>
        <v>0</v>
      </c>
      <c r="P141" s="117"/>
      <c r="Q141" s="117"/>
      <c r="R141" s="117"/>
      <c r="S141" s="117"/>
      <c r="T141" s="147">
        <v>0.11</v>
      </c>
      <c r="U141" s="117"/>
      <c r="V141" s="117"/>
      <c r="W141" s="117"/>
      <c r="X141" s="117"/>
      <c r="Y141" s="117"/>
      <c r="Z141" s="117"/>
      <c r="AA141" s="117"/>
    </row>
    <row r="142" spans="1:27" x14ac:dyDescent="0.3">
      <c r="A142" s="87"/>
      <c r="B142" s="87"/>
      <c r="C142" s="87"/>
      <c r="D142" s="152"/>
      <c r="E142" s="151"/>
      <c r="F142" s="87"/>
      <c r="G142" s="88"/>
      <c r="I142" s="117"/>
      <c r="J142" s="117"/>
      <c r="K142" s="117"/>
      <c r="L142" s="117"/>
      <c r="M142" s="117"/>
      <c r="N142" s="130" t="s">
        <v>821</v>
      </c>
      <c r="O142" s="269">
        <f>SUM(O132:O141)</f>
        <v>0</v>
      </c>
      <c r="P142" s="158"/>
      <c r="Q142" s="117"/>
      <c r="R142" s="117"/>
      <c r="S142" s="117"/>
      <c r="T142" s="147">
        <v>0.12</v>
      </c>
      <c r="U142" s="117"/>
      <c r="V142" s="117"/>
      <c r="W142" s="117"/>
      <c r="X142" s="117"/>
      <c r="Y142" s="117"/>
      <c r="Z142" s="117"/>
      <c r="AA142" s="117"/>
    </row>
    <row r="143" spans="1:27" x14ac:dyDescent="0.3">
      <c r="A143" s="87"/>
      <c r="B143" s="87"/>
      <c r="C143" s="87"/>
      <c r="D143" s="152"/>
      <c r="E143" s="151"/>
      <c r="F143" s="87"/>
      <c r="G143" s="88"/>
      <c r="I143" s="117"/>
      <c r="J143" s="117"/>
      <c r="K143" s="117"/>
      <c r="L143" s="117"/>
      <c r="M143" s="117"/>
      <c r="N143" s="130"/>
      <c r="O143" s="158"/>
      <c r="P143" s="158"/>
      <c r="Q143" s="117"/>
      <c r="R143" s="117"/>
      <c r="S143" s="117"/>
      <c r="T143" s="147">
        <v>0.13</v>
      </c>
      <c r="U143" s="117"/>
      <c r="V143" s="117"/>
      <c r="W143" s="117"/>
      <c r="X143" s="117"/>
      <c r="Y143" s="117"/>
      <c r="Z143" s="117"/>
      <c r="AA143" s="117"/>
    </row>
    <row r="144" spans="1:27" x14ac:dyDescent="0.3">
      <c r="A144" s="87"/>
      <c r="B144" s="87"/>
      <c r="C144" s="87"/>
      <c r="D144" s="155"/>
      <c r="E144" s="151"/>
      <c r="F144" s="87"/>
      <c r="G144" s="88"/>
      <c r="I144" s="117"/>
      <c r="J144" s="117"/>
      <c r="K144" s="117"/>
      <c r="L144" s="117"/>
      <c r="M144" s="117"/>
      <c r="N144" s="117"/>
      <c r="O144" s="158"/>
      <c r="P144" s="158"/>
      <c r="Q144" s="117"/>
      <c r="R144" s="117"/>
      <c r="S144" s="117"/>
      <c r="T144" s="147">
        <v>0.14000000000000001</v>
      </c>
      <c r="U144" s="117"/>
      <c r="V144" s="117"/>
      <c r="W144" s="117"/>
      <c r="X144" s="117"/>
      <c r="Y144" s="117"/>
      <c r="Z144" s="117"/>
      <c r="AA144" s="117"/>
    </row>
    <row r="145" spans="1:27" x14ac:dyDescent="0.3">
      <c r="A145" s="87"/>
      <c r="B145" s="87"/>
      <c r="C145" s="87"/>
      <c r="D145" s="155"/>
      <c r="E145" s="155"/>
      <c r="F145" s="87"/>
      <c r="G145" s="88"/>
      <c r="I145" s="117"/>
      <c r="J145" s="117"/>
      <c r="K145" s="117"/>
      <c r="L145" s="117"/>
      <c r="M145" s="117"/>
      <c r="N145" s="117"/>
      <c r="O145" s="158"/>
      <c r="P145" s="158"/>
      <c r="Q145" s="117"/>
      <c r="R145" s="117"/>
      <c r="S145" s="117"/>
      <c r="T145" s="147">
        <v>0.15</v>
      </c>
      <c r="U145" s="117"/>
      <c r="V145" s="117"/>
      <c r="W145" s="117"/>
      <c r="X145" s="117"/>
      <c r="Y145" s="117"/>
      <c r="Z145" s="117"/>
      <c r="AA145" s="117"/>
    </row>
    <row r="146" spans="1:27" x14ac:dyDescent="0.3">
      <c r="A146" s="87"/>
      <c r="B146" s="87"/>
      <c r="C146" s="87"/>
      <c r="D146" s="156"/>
      <c r="E146" s="156"/>
      <c r="F146" s="156"/>
      <c r="G146" s="156"/>
      <c r="I146" s="117"/>
      <c r="J146" s="117"/>
      <c r="K146" s="117"/>
      <c r="L146" s="117"/>
      <c r="M146" s="117"/>
      <c r="N146" s="117"/>
      <c r="O146" s="159"/>
      <c r="P146" s="159"/>
      <c r="Q146" s="117"/>
      <c r="R146" s="117"/>
      <c r="S146" s="117"/>
      <c r="T146" s="147">
        <v>0.16</v>
      </c>
      <c r="U146" s="117"/>
      <c r="V146" s="117"/>
      <c r="W146" s="117"/>
      <c r="X146" s="117"/>
      <c r="Y146" s="117"/>
      <c r="Z146" s="117"/>
      <c r="AA146" s="117"/>
    </row>
    <row r="147" spans="1:27" x14ac:dyDescent="0.3">
      <c r="A147" s="87"/>
      <c r="B147" s="87"/>
      <c r="C147" s="87"/>
      <c r="D147" s="157"/>
      <c r="E147" s="157"/>
      <c r="F147" s="157"/>
      <c r="G147" s="157"/>
      <c r="I147" s="117"/>
      <c r="J147" s="117"/>
      <c r="K147" s="117"/>
      <c r="L147" s="117"/>
      <c r="M147" s="117"/>
      <c r="N147" s="117"/>
      <c r="O147" s="159"/>
      <c r="P147" s="159"/>
      <c r="Q147" s="117"/>
      <c r="R147" s="117"/>
      <c r="S147" s="117"/>
      <c r="T147" s="147">
        <v>0.17</v>
      </c>
      <c r="U147" s="117"/>
      <c r="V147" s="117"/>
      <c r="W147" s="117"/>
      <c r="X147" s="117"/>
      <c r="Y147" s="117"/>
      <c r="Z147" s="117"/>
      <c r="AA147" s="117"/>
    </row>
    <row r="148" spans="1:27" x14ac:dyDescent="0.3">
      <c r="A148" s="87"/>
      <c r="B148" s="87"/>
      <c r="C148" s="156"/>
      <c r="D148" s="156"/>
      <c r="E148" s="156"/>
      <c r="F148" s="156"/>
      <c r="G148" s="156"/>
      <c r="I148" s="117"/>
      <c r="J148" s="117"/>
      <c r="K148" s="117"/>
      <c r="L148" s="117"/>
      <c r="M148" s="117"/>
      <c r="N148" s="117"/>
      <c r="O148" s="159"/>
      <c r="P148" s="159"/>
      <c r="Q148" s="117"/>
      <c r="R148" s="117"/>
      <c r="S148" s="117"/>
      <c r="T148" s="147">
        <v>0.18</v>
      </c>
      <c r="U148" s="117"/>
      <c r="V148" s="117"/>
      <c r="W148" s="117"/>
      <c r="X148" s="117"/>
      <c r="Y148" s="117"/>
      <c r="Z148" s="117"/>
      <c r="AA148" s="117"/>
    </row>
    <row r="149" spans="1:27" x14ac:dyDescent="0.3">
      <c r="A149" s="87"/>
      <c r="B149" s="87"/>
      <c r="C149" s="156"/>
      <c r="D149" s="156"/>
      <c r="E149" s="156"/>
      <c r="F149" s="156"/>
      <c r="G149" s="156"/>
      <c r="I149" s="117"/>
      <c r="J149" s="117"/>
      <c r="K149" s="117"/>
      <c r="L149" s="117"/>
      <c r="M149" s="117"/>
      <c r="N149" s="117"/>
      <c r="O149" s="159"/>
      <c r="P149" s="159"/>
      <c r="Q149" s="117"/>
      <c r="R149" s="117"/>
      <c r="S149" s="117"/>
      <c r="T149" s="147">
        <v>0.19</v>
      </c>
      <c r="U149" s="117"/>
      <c r="V149" s="117"/>
      <c r="W149" s="117"/>
      <c r="X149" s="117"/>
      <c r="Y149" s="117"/>
      <c r="Z149" s="117"/>
      <c r="AA149" s="117"/>
    </row>
    <row r="150" spans="1:27" x14ac:dyDescent="0.3">
      <c r="A150" s="87"/>
      <c r="B150" s="87"/>
      <c r="C150" s="157"/>
      <c r="D150" s="157"/>
      <c r="E150" s="157"/>
      <c r="F150" s="157"/>
      <c r="G150" s="157"/>
      <c r="I150" s="117"/>
      <c r="J150" s="117"/>
      <c r="K150" s="117"/>
      <c r="L150" s="117"/>
      <c r="M150" s="117"/>
      <c r="N150" s="117"/>
      <c r="O150" s="159"/>
      <c r="P150" s="159"/>
      <c r="Q150" s="117"/>
      <c r="R150" s="117"/>
      <c r="S150" s="117"/>
      <c r="T150" s="147">
        <v>0.2</v>
      </c>
      <c r="U150" s="117"/>
      <c r="V150" s="117"/>
      <c r="W150" s="117"/>
      <c r="X150" s="117"/>
      <c r="Y150" s="117"/>
      <c r="Z150" s="117"/>
      <c r="AA150" s="117"/>
    </row>
    <row r="151" spans="1:27" x14ac:dyDescent="0.3">
      <c r="A151" s="87"/>
      <c r="B151" s="87"/>
      <c r="C151" s="87"/>
      <c r="D151" s="87"/>
      <c r="E151" s="87"/>
      <c r="F151" s="87"/>
      <c r="G151" s="88"/>
      <c r="I151" s="117"/>
      <c r="J151" s="117"/>
      <c r="K151" s="117"/>
      <c r="L151" s="117"/>
      <c r="M151" s="117"/>
      <c r="N151" s="117"/>
      <c r="O151" s="159"/>
      <c r="P151" s="159"/>
      <c r="Q151" s="117"/>
      <c r="R151" s="117"/>
      <c r="S151" s="117"/>
      <c r="T151" s="147">
        <v>0.21</v>
      </c>
      <c r="U151" s="117"/>
      <c r="V151" s="117"/>
      <c r="W151" s="117"/>
      <c r="X151" s="117"/>
      <c r="Y151" s="117"/>
      <c r="Z151" s="117"/>
      <c r="AA151" s="117"/>
    </row>
    <row r="152" spans="1:27" x14ac:dyDescent="0.3">
      <c r="A152" s="87"/>
      <c r="B152" s="87"/>
      <c r="C152" s="87"/>
      <c r="D152" s="87"/>
      <c r="E152" s="87"/>
      <c r="F152" s="87"/>
      <c r="G152" s="88"/>
      <c r="I152" s="117"/>
      <c r="J152" s="117"/>
      <c r="K152" s="117"/>
      <c r="L152" s="117"/>
      <c r="M152" s="117"/>
      <c r="N152" s="117" t="s">
        <v>822</v>
      </c>
      <c r="O152" s="159"/>
      <c r="P152" s="159"/>
      <c r="Q152" s="117"/>
      <c r="R152" s="117"/>
      <c r="S152" s="117"/>
      <c r="T152" s="147">
        <v>0.22</v>
      </c>
      <c r="U152" s="117"/>
      <c r="V152" s="117"/>
      <c r="W152" s="117"/>
      <c r="X152" s="117"/>
      <c r="Y152" s="117"/>
      <c r="Z152" s="117"/>
      <c r="AA152" s="117"/>
    </row>
    <row r="153" spans="1:27" x14ac:dyDescent="0.3">
      <c r="A153" s="87"/>
      <c r="B153" s="87"/>
      <c r="C153" s="87"/>
      <c r="D153" s="87"/>
      <c r="E153" s="87"/>
      <c r="F153" s="87"/>
      <c r="G153" s="88"/>
      <c r="I153" s="117"/>
      <c r="J153" s="117"/>
      <c r="K153" s="117"/>
      <c r="L153" s="117"/>
      <c r="M153" s="117"/>
      <c r="N153" s="117" t="s">
        <v>823</v>
      </c>
      <c r="O153" s="158"/>
      <c r="P153" s="158"/>
      <c r="Q153" s="117"/>
      <c r="R153" s="117"/>
      <c r="S153" s="117"/>
      <c r="T153" s="147">
        <v>0.23</v>
      </c>
      <c r="U153" s="117"/>
      <c r="V153" s="117"/>
      <c r="W153" s="117"/>
      <c r="X153" s="117"/>
      <c r="Y153" s="117"/>
      <c r="Z153" s="117"/>
      <c r="AA153" s="117"/>
    </row>
    <row r="154" spans="1:27" x14ac:dyDescent="0.3">
      <c r="A154" s="87"/>
      <c r="B154" s="87"/>
      <c r="C154" s="87"/>
      <c r="D154" s="157"/>
      <c r="E154" s="157"/>
      <c r="F154" s="157"/>
      <c r="G154" s="157"/>
      <c r="H154" s="127"/>
      <c r="I154" s="117"/>
      <c r="J154" s="117"/>
      <c r="K154" s="117"/>
      <c r="L154" s="117"/>
      <c r="M154" s="117"/>
      <c r="N154" s="117" t="s">
        <v>824</v>
      </c>
      <c r="O154" s="158"/>
      <c r="P154" s="158"/>
      <c r="Q154" s="117"/>
      <c r="R154" s="117"/>
      <c r="S154" s="117"/>
      <c r="T154" s="147">
        <v>0.24</v>
      </c>
      <c r="U154" s="117"/>
      <c r="V154" s="117"/>
      <c r="W154" s="117"/>
      <c r="X154" s="117"/>
      <c r="Y154" s="117"/>
      <c r="Z154" s="117"/>
      <c r="AA154" s="117"/>
    </row>
    <row r="155" spans="1:27" x14ac:dyDescent="0.3">
      <c r="A155" s="87"/>
      <c r="B155" s="87"/>
      <c r="C155" s="87"/>
      <c r="D155" s="87"/>
      <c r="E155" s="87"/>
      <c r="F155" s="87"/>
      <c r="G155" s="88"/>
      <c r="I155" s="117"/>
      <c r="J155" s="117"/>
      <c r="K155" s="117"/>
      <c r="L155" s="117"/>
      <c r="M155" s="117"/>
      <c r="N155" s="117" t="s">
        <v>825</v>
      </c>
      <c r="O155" s="158"/>
      <c r="P155" s="158"/>
      <c r="Q155" s="117"/>
      <c r="R155" s="117"/>
      <c r="S155" s="117"/>
      <c r="T155" s="147">
        <v>0.25</v>
      </c>
      <c r="U155" s="117"/>
      <c r="V155" s="117"/>
      <c r="W155" s="117"/>
      <c r="X155" s="117"/>
      <c r="Y155" s="117"/>
      <c r="Z155" s="117"/>
      <c r="AA155" s="117"/>
    </row>
    <row r="156" spans="1:27" x14ac:dyDescent="0.3">
      <c r="A156" s="87"/>
      <c r="B156" s="87"/>
      <c r="C156" s="87"/>
      <c r="D156" s="87"/>
      <c r="E156" s="87"/>
      <c r="F156" s="87"/>
      <c r="G156" s="88"/>
      <c r="I156" s="117"/>
      <c r="J156" s="117"/>
      <c r="K156" s="117"/>
      <c r="L156" s="117"/>
      <c r="M156" s="117"/>
      <c r="N156" s="117"/>
      <c r="O156" s="159"/>
      <c r="P156" s="159"/>
      <c r="Q156" s="117"/>
      <c r="R156" s="117"/>
      <c r="S156" s="117"/>
      <c r="T156" s="147">
        <v>0.26</v>
      </c>
      <c r="U156" s="117"/>
      <c r="V156" s="117"/>
      <c r="W156" s="117"/>
      <c r="X156" s="117"/>
      <c r="Y156" s="117"/>
      <c r="Z156" s="117"/>
      <c r="AA156" s="117"/>
    </row>
    <row r="157" spans="1:27" x14ac:dyDescent="0.3">
      <c r="A157" s="87"/>
      <c r="B157" s="87"/>
      <c r="C157" s="87"/>
      <c r="D157" s="87"/>
      <c r="E157" s="87"/>
      <c r="F157" s="87"/>
      <c r="G157" s="88"/>
      <c r="I157" s="117"/>
      <c r="J157" s="117"/>
      <c r="K157" s="117"/>
      <c r="L157" s="117"/>
      <c r="M157" s="117"/>
      <c r="N157" s="117"/>
      <c r="O157" s="158"/>
      <c r="P157" s="158"/>
      <c r="Q157" s="117"/>
      <c r="R157" s="117"/>
      <c r="S157" s="117"/>
      <c r="T157" s="147">
        <v>0.27</v>
      </c>
      <c r="U157" s="117"/>
      <c r="V157" s="117"/>
      <c r="W157" s="117"/>
      <c r="X157" s="117"/>
      <c r="Y157" s="117"/>
      <c r="Z157" s="117"/>
      <c r="AA157" s="117"/>
    </row>
    <row r="158" spans="1:27" x14ac:dyDescent="0.3">
      <c r="A158" s="87"/>
      <c r="B158" s="87"/>
      <c r="C158" s="87"/>
      <c r="D158" s="87"/>
      <c r="E158" s="87"/>
      <c r="F158" s="87"/>
      <c r="G158" s="88"/>
      <c r="I158" s="117"/>
      <c r="J158" s="117"/>
      <c r="K158" s="117"/>
      <c r="L158" s="117"/>
      <c r="M158" s="117"/>
      <c r="N158" s="117"/>
      <c r="O158" s="159"/>
      <c r="P158" s="159"/>
      <c r="Q158" s="117"/>
      <c r="R158" s="117"/>
      <c r="S158" s="117"/>
      <c r="T158" s="147">
        <v>0.28000000000000003</v>
      </c>
      <c r="U158" s="117"/>
      <c r="V158" s="117"/>
      <c r="W158" s="117"/>
      <c r="X158" s="117"/>
      <c r="Y158" s="117"/>
      <c r="Z158" s="117"/>
      <c r="AA158" s="117"/>
    </row>
    <row r="159" spans="1:27" x14ac:dyDescent="0.3">
      <c r="A159" s="87"/>
      <c r="B159" s="87"/>
      <c r="C159" s="87"/>
      <c r="D159" s="87"/>
      <c r="E159" s="87"/>
      <c r="F159" s="87"/>
      <c r="G159" s="88"/>
      <c r="I159" s="117"/>
      <c r="J159" s="117"/>
      <c r="K159" s="117"/>
      <c r="L159" s="117"/>
      <c r="M159" s="117"/>
      <c r="N159" s="117"/>
      <c r="O159" s="159"/>
      <c r="P159" s="159"/>
      <c r="Q159" s="117"/>
      <c r="R159" s="117"/>
      <c r="S159" s="117"/>
      <c r="T159" s="147">
        <v>0.28999999999999998</v>
      </c>
      <c r="U159" s="117"/>
      <c r="V159" s="117"/>
      <c r="W159" s="117"/>
      <c r="X159" s="117"/>
      <c r="Y159" s="117"/>
      <c r="Z159" s="117"/>
      <c r="AA159" s="117"/>
    </row>
    <row r="160" spans="1:27" x14ac:dyDescent="0.3">
      <c r="A160" s="87"/>
      <c r="B160" s="87"/>
      <c r="C160" s="87"/>
      <c r="D160" s="87"/>
      <c r="E160" s="87"/>
      <c r="F160" s="87"/>
      <c r="G160" s="88"/>
      <c r="I160" s="117"/>
      <c r="J160" s="117"/>
      <c r="K160" s="117"/>
      <c r="L160" s="117"/>
      <c r="M160" s="117"/>
      <c r="N160" s="117"/>
      <c r="O160" s="158"/>
      <c r="P160" s="158"/>
      <c r="Q160" s="117"/>
      <c r="R160" s="117"/>
      <c r="S160" s="117"/>
      <c r="T160" s="147">
        <v>0.3</v>
      </c>
      <c r="U160" s="117"/>
      <c r="V160" s="117"/>
      <c r="W160" s="117"/>
      <c r="X160" s="117"/>
      <c r="Y160" s="117"/>
      <c r="Z160" s="117"/>
      <c r="AA160" s="117"/>
    </row>
    <row r="161" spans="1:27" x14ac:dyDescent="0.3">
      <c r="A161" s="87"/>
      <c r="B161" s="87"/>
      <c r="C161" s="87"/>
      <c r="D161" s="87"/>
      <c r="E161" s="87"/>
      <c r="F161" s="87"/>
      <c r="G161" s="88"/>
      <c r="I161" s="117"/>
      <c r="J161" s="117"/>
      <c r="K161" s="117"/>
      <c r="L161" s="117"/>
      <c r="M161" s="117"/>
      <c r="N161" s="117"/>
      <c r="O161" s="159"/>
      <c r="P161" s="159"/>
      <c r="Q161" s="117"/>
      <c r="R161" s="117"/>
      <c r="S161" s="117"/>
      <c r="T161" s="147">
        <v>0.31</v>
      </c>
      <c r="U161" s="117"/>
      <c r="V161" s="117"/>
      <c r="W161" s="117"/>
      <c r="X161" s="117"/>
      <c r="Y161" s="117"/>
      <c r="Z161" s="117"/>
      <c r="AA161" s="117"/>
    </row>
    <row r="162" spans="1:27" x14ac:dyDescent="0.3">
      <c r="A162" s="87"/>
      <c r="B162" s="87"/>
      <c r="C162" s="87"/>
      <c r="D162" s="87"/>
      <c r="E162" s="87"/>
      <c r="F162" s="87"/>
      <c r="G162" s="88"/>
      <c r="I162" s="117"/>
      <c r="J162" s="117"/>
      <c r="K162" s="117"/>
      <c r="L162" s="117"/>
      <c r="M162" s="117"/>
      <c r="N162" s="117"/>
      <c r="O162" s="159"/>
      <c r="P162" s="159"/>
      <c r="Q162" s="117"/>
      <c r="R162" s="117"/>
      <c r="S162" s="117"/>
      <c r="T162" s="147">
        <v>0.32</v>
      </c>
      <c r="U162" s="117"/>
      <c r="V162" s="117"/>
      <c r="W162" s="117"/>
      <c r="X162" s="117"/>
      <c r="Y162" s="117"/>
      <c r="Z162" s="117"/>
      <c r="AA162" s="117"/>
    </row>
    <row r="163" spans="1:27" x14ac:dyDescent="0.3">
      <c r="A163" s="87"/>
      <c r="B163" s="87"/>
      <c r="C163" s="87"/>
      <c r="D163" s="87"/>
      <c r="E163" s="87"/>
      <c r="F163" s="87"/>
      <c r="G163" s="88"/>
      <c r="I163" s="117"/>
      <c r="J163" s="117"/>
      <c r="K163" s="117"/>
      <c r="L163" s="117"/>
      <c r="M163" s="117"/>
      <c r="N163" s="119"/>
      <c r="O163" s="159"/>
      <c r="P163" s="159"/>
      <c r="Q163" s="117"/>
      <c r="R163" s="117"/>
      <c r="S163" s="117"/>
      <c r="T163" s="147">
        <v>0.33</v>
      </c>
      <c r="U163" s="117"/>
      <c r="V163" s="117"/>
      <c r="W163" s="117"/>
      <c r="X163" s="117"/>
      <c r="Y163" s="117"/>
      <c r="Z163" s="117"/>
      <c r="AA163" s="117"/>
    </row>
    <row r="164" spans="1:27" x14ac:dyDescent="0.3">
      <c r="A164" s="87"/>
      <c r="B164" s="87"/>
      <c r="C164" s="87"/>
      <c r="D164" s="87"/>
      <c r="E164" s="87"/>
      <c r="F164" s="87"/>
      <c r="G164" s="88"/>
      <c r="I164" s="117"/>
      <c r="J164" s="117"/>
      <c r="K164" s="117"/>
      <c r="L164" s="117"/>
      <c r="M164" s="117"/>
      <c r="N164" s="117"/>
      <c r="O164" s="159"/>
      <c r="P164" s="159"/>
      <c r="Q164" s="117"/>
      <c r="R164" s="117"/>
      <c r="S164" s="117"/>
      <c r="T164" s="147">
        <v>0.34</v>
      </c>
      <c r="U164" s="117"/>
      <c r="V164" s="117"/>
      <c r="W164" s="117"/>
      <c r="X164" s="117"/>
      <c r="Y164" s="117"/>
      <c r="Z164" s="117"/>
      <c r="AA164" s="117"/>
    </row>
    <row r="165" spans="1:27" x14ac:dyDescent="0.3">
      <c r="A165" s="87"/>
      <c r="B165" s="87"/>
      <c r="C165" s="87"/>
      <c r="D165" s="87"/>
      <c r="E165" s="87"/>
      <c r="F165" s="87"/>
      <c r="G165" s="88"/>
      <c r="I165" s="117"/>
      <c r="J165" s="117"/>
      <c r="K165" s="117"/>
      <c r="L165" s="117"/>
      <c r="M165" s="117"/>
      <c r="N165" s="117"/>
      <c r="O165" s="158"/>
      <c r="P165" s="158"/>
      <c r="Q165" s="117"/>
      <c r="R165" s="117"/>
      <c r="S165" s="117"/>
      <c r="T165" s="147">
        <v>0.35</v>
      </c>
      <c r="U165" s="117"/>
      <c r="V165" s="117"/>
      <c r="W165" s="117"/>
      <c r="X165" s="117"/>
      <c r="Y165" s="117"/>
      <c r="Z165" s="117"/>
      <c r="AA165" s="117"/>
    </row>
    <row r="166" spans="1:27" x14ac:dyDescent="0.3">
      <c r="A166" s="87"/>
      <c r="B166" s="87"/>
      <c r="C166" s="87"/>
      <c r="D166" s="87"/>
      <c r="E166" s="87"/>
      <c r="F166" s="87"/>
      <c r="G166" s="88"/>
      <c r="I166" s="117"/>
      <c r="J166" s="117"/>
      <c r="K166" s="117"/>
      <c r="L166" s="117"/>
      <c r="M166" s="117"/>
      <c r="N166" s="117"/>
      <c r="O166" s="159"/>
      <c r="P166" s="159"/>
      <c r="Q166" s="117"/>
      <c r="R166" s="117"/>
      <c r="S166" s="117"/>
      <c r="T166" s="147">
        <v>0.36</v>
      </c>
      <c r="U166" s="117"/>
      <c r="V166" s="117"/>
      <c r="W166" s="117"/>
      <c r="X166" s="117"/>
      <c r="Y166" s="117"/>
      <c r="Z166" s="117"/>
      <c r="AA166" s="117"/>
    </row>
    <row r="167" spans="1:27" x14ac:dyDescent="0.3">
      <c r="A167" s="87"/>
      <c r="B167" s="87"/>
      <c r="C167" s="87"/>
      <c r="D167" s="87"/>
      <c r="E167" s="87"/>
      <c r="F167" s="87"/>
      <c r="G167" s="88"/>
      <c r="I167" s="117"/>
      <c r="J167" s="117"/>
      <c r="K167" s="117"/>
      <c r="L167" s="117"/>
      <c r="M167" s="117"/>
      <c r="N167" s="117"/>
      <c r="O167" s="159"/>
      <c r="P167" s="159"/>
      <c r="Q167" s="117"/>
      <c r="R167" s="117"/>
      <c r="S167" s="117"/>
      <c r="T167" s="147">
        <v>0.37</v>
      </c>
      <c r="U167" s="117"/>
      <c r="V167" s="117"/>
      <c r="W167" s="117"/>
      <c r="X167" s="117"/>
      <c r="Y167" s="117"/>
      <c r="Z167" s="117"/>
      <c r="AA167" s="117"/>
    </row>
    <row r="168" spans="1:27" x14ac:dyDescent="0.3">
      <c r="A168" s="87"/>
      <c r="B168" s="87"/>
      <c r="C168" s="87"/>
      <c r="D168" s="87"/>
      <c r="E168" s="87"/>
      <c r="F168" s="87"/>
      <c r="G168" s="88"/>
      <c r="I168" s="117"/>
      <c r="J168" s="117"/>
      <c r="K168" s="117"/>
      <c r="L168" s="117"/>
      <c r="M168" s="117"/>
      <c r="N168" s="117"/>
      <c r="O168" s="159"/>
      <c r="P168" s="159"/>
      <c r="Q168" s="117"/>
      <c r="R168" s="117"/>
      <c r="S168" s="117"/>
      <c r="T168" s="147">
        <v>0.38</v>
      </c>
      <c r="U168" s="117"/>
      <c r="V168" s="117"/>
      <c r="W168" s="117"/>
      <c r="X168" s="117"/>
      <c r="Y168" s="117"/>
      <c r="Z168" s="117"/>
      <c r="AA168" s="117"/>
    </row>
    <row r="169" spans="1:27" x14ac:dyDescent="0.3">
      <c r="A169" s="87"/>
      <c r="B169" s="87"/>
      <c r="C169" s="87"/>
      <c r="D169" s="87"/>
      <c r="E169" s="87"/>
      <c r="F169" s="87"/>
      <c r="G169" s="88"/>
      <c r="I169" s="117"/>
      <c r="J169" s="117"/>
      <c r="K169" s="117"/>
      <c r="L169" s="117"/>
      <c r="M169" s="117"/>
      <c r="N169" s="117"/>
      <c r="O169" s="159"/>
      <c r="P169" s="159"/>
      <c r="Q169" s="117"/>
      <c r="R169" s="117"/>
      <c r="S169" s="117"/>
      <c r="T169" s="147">
        <v>0.39</v>
      </c>
      <c r="U169" s="117"/>
      <c r="V169" s="117"/>
      <c r="W169" s="117"/>
      <c r="X169" s="117"/>
      <c r="Y169" s="117"/>
      <c r="Z169" s="117"/>
      <c r="AA169" s="117"/>
    </row>
    <row r="170" spans="1:27" x14ac:dyDescent="0.3">
      <c r="A170" s="87"/>
      <c r="B170" s="87"/>
      <c r="C170" s="87"/>
      <c r="D170" s="87"/>
      <c r="E170" s="87"/>
      <c r="F170" s="87"/>
      <c r="G170" s="88"/>
      <c r="I170" s="117"/>
      <c r="J170" s="117"/>
      <c r="K170" s="117"/>
      <c r="L170" s="117"/>
      <c r="M170" s="117"/>
      <c r="N170" s="117"/>
      <c r="O170" s="159"/>
      <c r="P170" s="159"/>
      <c r="Q170" s="117"/>
      <c r="R170" s="117"/>
      <c r="S170" s="117"/>
      <c r="T170" s="147">
        <v>0.4</v>
      </c>
      <c r="U170" s="117"/>
      <c r="V170" s="117"/>
      <c r="W170" s="117"/>
      <c r="X170" s="117"/>
      <c r="Y170" s="117"/>
      <c r="Z170" s="117"/>
      <c r="AA170" s="117"/>
    </row>
    <row r="171" spans="1:27" x14ac:dyDescent="0.3">
      <c r="A171" s="87"/>
      <c r="B171" s="87"/>
      <c r="C171" s="87"/>
      <c r="D171" s="87"/>
      <c r="E171" s="87"/>
      <c r="F171" s="87"/>
      <c r="G171" s="88"/>
      <c r="I171" s="117"/>
      <c r="J171" s="117"/>
      <c r="K171" s="117"/>
      <c r="L171" s="117"/>
      <c r="M171" s="117"/>
      <c r="N171" s="117"/>
      <c r="O171" s="159"/>
      <c r="P171" s="159"/>
      <c r="Q171" s="117"/>
      <c r="R171" s="117"/>
      <c r="S171" s="117"/>
      <c r="T171" s="147">
        <v>0.41</v>
      </c>
      <c r="U171" s="117"/>
      <c r="V171" s="117"/>
      <c r="W171" s="117"/>
      <c r="X171" s="117"/>
      <c r="Y171" s="117"/>
      <c r="Z171" s="117"/>
      <c r="AA171" s="117"/>
    </row>
    <row r="172" spans="1:27" x14ac:dyDescent="0.3">
      <c r="A172" s="87"/>
      <c r="B172" s="87"/>
      <c r="C172" s="87"/>
      <c r="D172" s="87"/>
      <c r="E172" s="87"/>
      <c r="F172" s="87"/>
      <c r="G172" s="88"/>
      <c r="I172" s="117"/>
      <c r="J172" s="117"/>
      <c r="K172" s="117"/>
      <c r="L172" s="117"/>
      <c r="M172" s="117"/>
      <c r="N172" s="117"/>
      <c r="O172" s="159"/>
      <c r="P172" s="159"/>
      <c r="Q172" s="117"/>
      <c r="R172" s="117"/>
      <c r="S172" s="117"/>
      <c r="T172" s="147">
        <v>0.42</v>
      </c>
      <c r="U172" s="117"/>
      <c r="V172" s="117"/>
      <c r="W172" s="117"/>
      <c r="X172" s="117"/>
      <c r="Y172" s="117"/>
      <c r="Z172" s="117"/>
      <c r="AA172" s="117"/>
    </row>
    <row r="173" spans="1:27" x14ac:dyDescent="0.3">
      <c r="A173" s="87"/>
      <c r="B173" s="87"/>
      <c r="C173" s="87"/>
      <c r="D173" s="87"/>
      <c r="E173" s="87"/>
      <c r="F173" s="87"/>
      <c r="G173" s="88"/>
      <c r="I173" s="117"/>
      <c r="J173" s="117"/>
      <c r="K173" s="117"/>
      <c r="L173" s="117"/>
      <c r="M173" s="117"/>
      <c r="N173" s="117"/>
      <c r="O173" s="159"/>
      <c r="P173" s="159"/>
      <c r="Q173" s="117"/>
      <c r="R173" s="117"/>
      <c r="S173" s="117"/>
      <c r="T173" s="147">
        <v>0.43</v>
      </c>
      <c r="U173" s="117"/>
      <c r="V173" s="117"/>
      <c r="W173" s="117"/>
      <c r="X173" s="117"/>
      <c r="Y173" s="117"/>
      <c r="Z173" s="117"/>
      <c r="AA173" s="117"/>
    </row>
    <row r="174" spans="1:27" x14ac:dyDescent="0.3">
      <c r="A174" s="87"/>
      <c r="B174" s="87"/>
      <c r="C174" s="87"/>
      <c r="D174" s="87"/>
      <c r="E174" s="87"/>
      <c r="F174" s="87"/>
      <c r="G174" s="88"/>
      <c r="I174" s="117"/>
      <c r="J174" s="117"/>
      <c r="K174" s="117"/>
      <c r="L174" s="117"/>
      <c r="M174" s="117"/>
      <c r="N174" s="117"/>
      <c r="O174" s="159"/>
      <c r="P174" s="159"/>
      <c r="Q174" s="117"/>
      <c r="R174" s="117"/>
      <c r="S174" s="117"/>
      <c r="T174" s="147">
        <v>0.44</v>
      </c>
      <c r="U174" s="117"/>
      <c r="V174" s="117"/>
      <c r="W174" s="117"/>
      <c r="X174" s="117"/>
      <c r="Y174" s="117"/>
      <c r="Z174" s="117"/>
      <c r="AA174" s="117"/>
    </row>
    <row r="175" spans="1:27" x14ac:dyDescent="0.3">
      <c r="A175" s="87"/>
      <c r="B175" s="87"/>
      <c r="C175" s="87"/>
      <c r="D175" s="87"/>
      <c r="E175" s="87"/>
      <c r="F175" s="87"/>
      <c r="G175" s="88"/>
      <c r="I175" s="117"/>
      <c r="J175" s="117"/>
      <c r="K175" s="117"/>
      <c r="L175" s="117"/>
      <c r="M175" s="117"/>
      <c r="N175" s="117"/>
      <c r="O175" s="159"/>
      <c r="P175" s="159"/>
      <c r="Q175" s="117"/>
      <c r="R175" s="117"/>
      <c r="S175" s="117"/>
      <c r="T175" s="147">
        <v>0.45</v>
      </c>
      <c r="U175" s="117"/>
      <c r="V175" s="117"/>
      <c r="W175" s="117"/>
      <c r="X175" s="117"/>
      <c r="Y175" s="117"/>
      <c r="Z175" s="117"/>
      <c r="AA175" s="117"/>
    </row>
    <row r="176" spans="1:27" x14ac:dyDescent="0.3">
      <c r="A176" s="87"/>
      <c r="B176" s="87"/>
      <c r="C176" s="87"/>
      <c r="D176" s="87"/>
      <c r="E176" s="87"/>
      <c r="F176" s="87"/>
      <c r="G176" s="88"/>
      <c r="I176" s="117"/>
      <c r="J176" s="117"/>
      <c r="K176" s="117"/>
      <c r="L176" s="117"/>
      <c r="M176" s="117"/>
      <c r="N176" s="117"/>
      <c r="O176" s="159"/>
      <c r="P176" s="159"/>
      <c r="Q176" s="117"/>
      <c r="R176" s="117"/>
      <c r="S176" s="117"/>
      <c r="T176" s="147">
        <v>0.46</v>
      </c>
      <c r="U176" s="117"/>
      <c r="V176" s="117"/>
      <c r="W176" s="117"/>
      <c r="X176" s="117"/>
      <c r="Y176" s="117"/>
      <c r="Z176" s="117"/>
      <c r="AA176" s="117"/>
    </row>
    <row r="177" spans="1:27" x14ac:dyDescent="0.3">
      <c r="A177" s="87"/>
      <c r="B177" s="87"/>
      <c r="C177" s="87"/>
      <c r="D177" s="87"/>
      <c r="E177" s="87"/>
      <c r="F177" s="87"/>
      <c r="G177" s="88"/>
      <c r="I177" s="117"/>
      <c r="J177" s="117"/>
      <c r="K177" s="117"/>
      <c r="L177" s="117"/>
      <c r="M177" s="117"/>
      <c r="N177" s="117"/>
      <c r="O177" s="159"/>
      <c r="P177" s="159"/>
      <c r="Q177" s="117"/>
      <c r="R177" s="117"/>
      <c r="S177" s="117"/>
      <c r="T177" s="147">
        <v>0.47</v>
      </c>
      <c r="U177" s="117"/>
      <c r="V177" s="117"/>
      <c r="W177" s="117"/>
      <c r="X177" s="117"/>
      <c r="Y177" s="117"/>
      <c r="Z177" s="117"/>
      <c r="AA177" s="117"/>
    </row>
    <row r="178" spans="1:27" x14ac:dyDescent="0.3">
      <c r="A178" s="87"/>
      <c r="B178" s="87"/>
      <c r="C178" s="87"/>
      <c r="D178" s="87"/>
      <c r="E178" s="87"/>
      <c r="F178" s="87"/>
      <c r="G178" s="88"/>
      <c r="I178" s="117"/>
      <c r="J178" s="117"/>
      <c r="K178" s="117"/>
      <c r="L178" s="117"/>
      <c r="M178" s="117"/>
      <c r="N178" s="117"/>
      <c r="O178" s="159"/>
      <c r="P178" s="159"/>
      <c r="Q178" s="117"/>
      <c r="R178" s="117"/>
      <c r="S178" s="117"/>
      <c r="T178" s="147">
        <v>0.48</v>
      </c>
      <c r="U178" s="117"/>
      <c r="V178" s="117"/>
      <c r="W178" s="117"/>
      <c r="X178" s="117"/>
      <c r="Y178" s="117"/>
      <c r="Z178" s="117"/>
      <c r="AA178" s="117"/>
    </row>
    <row r="179" spans="1:27" x14ac:dyDescent="0.3">
      <c r="A179" s="87"/>
      <c r="B179" s="87"/>
      <c r="C179" s="87"/>
      <c r="D179" s="87"/>
      <c r="E179" s="87"/>
      <c r="F179" s="87"/>
      <c r="G179" s="88"/>
      <c r="I179" s="117"/>
      <c r="J179" s="117"/>
      <c r="K179" s="117"/>
      <c r="L179" s="117"/>
      <c r="M179" s="117"/>
      <c r="N179" s="117"/>
      <c r="O179" s="159"/>
      <c r="P179" s="159"/>
      <c r="Q179" s="117"/>
      <c r="R179" s="117"/>
      <c r="S179" s="117"/>
      <c r="T179" s="147">
        <v>0.49</v>
      </c>
      <c r="U179" s="117"/>
      <c r="V179" s="117"/>
      <c r="W179" s="117"/>
      <c r="X179" s="117"/>
      <c r="Y179" s="117"/>
      <c r="Z179" s="117"/>
      <c r="AA179" s="117"/>
    </row>
    <row r="180" spans="1:27" x14ac:dyDescent="0.3">
      <c r="A180" s="87"/>
      <c r="B180" s="87"/>
      <c r="C180" s="87"/>
      <c r="D180" s="87"/>
      <c r="E180" s="87"/>
      <c r="F180" s="87"/>
      <c r="G180" s="88"/>
      <c r="I180" s="117"/>
      <c r="J180" s="117"/>
      <c r="K180" s="117"/>
      <c r="L180" s="117"/>
      <c r="M180" s="117"/>
      <c r="N180" s="117"/>
      <c r="O180" s="159"/>
      <c r="P180" s="159"/>
      <c r="Q180" s="117"/>
      <c r="R180" s="117"/>
      <c r="S180" s="117"/>
      <c r="T180" s="147">
        <v>0.5</v>
      </c>
      <c r="U180" s="117"/>
      <c r="V180" s="117"/>
      <c r="W180" s="117"/>
      <c r="X180" s="117"/>
      <c r="Y180" s="117"/>
      <c r="Z180" s="117"/>
      <c r="AA180" s="117"/>
    </row>
    <row r="181" spans="1:27" x14ac:dyDescent="0.3">
      <c r="A181" s="87"/>
      <c r="B181" s="87"/>
      <c r="C181" s="87"/>
      <c r="D181" s="87"/>
      <c r="E181" s="87"/>
      <c r="F181" s="87"/>
      <c r="G181" s="88"/>
      <c r="I181" s="117"/>
      <c r="J181" s="117"/>
      <c r="K181" s="117"/>
      <c r="L181" s="117"/>
      <c r="M181" s="117"/>
      <c r="N181" s="117"/>
      <c r="O181" s="159"/>
      <c r="P181" s="159"/>
      <c r="Q181" s="117"/>
      <c r="R181" s="117"/>
      <c r="S181" s="117"/>
      <c r="T181" s="147">
        <v>0.51</v>
      </c>
      <c r="U181" s="117"/>
      <c r="V181" s="117"/>
      <c r="W181" s="117"/>
      <c r="X181" s="117"/>
      <c r="Y181" s="117"/>
      <c r="Z181" s="117"/>
      <c r="AA181" s="117"/>
    </row>
    <row r="182" spans="1:27" x14ac:dyDescent="0.3">
      <c r="A182" s="87"/>
      <c r="B182" s="87"/>
      <c r="C182" s="87"/>
      <c r="D182" s="87"/>
      <c r="E182" s="87"/>
      <c r="F182" s="87"/>
      <c r="G182" s="88"/>
      <c r="I182" s="117"/>
      <c r="J182" s="117"/>
      <c r="K182" s="117"/>
      <c r="L182" s="117"/>
      <c r="M182" s="117"/>
      <c r="N182" s="117"/>
      <c r="O182" s="159"/>
      <c r="P182" s="159"/>
      <c r="Q182" s="117"/>
      <c r="R182" s="117"/>
      <c r="S182" s="117"/>
      <c r="T182" s="147">
        <v>0.52</v>
      </c>
      <c r="U182" s="117"/>
      <c r="V182" s="117"/>
      <c r="W182" s="117"/>
      <c r="X182" s="117"/>
      <c r="Y182" s="117"/>
      <c r="Z182" s="117"/>
      <c r="AA182" s="117"/>
    </row>
    <row r="183" spans="1:27" x14ac:dyDescent="0.3">
      <c r="A183" s="87"/>
      <c r="B183" s="87"/>
      <c r="C183" s="87"/>
      <c r="D183" s="87"/>
      <c r="E183" s="87"/>
      <c r="F183" s="87"/>
      <c r="G183" s="88"/>
      <c r="I183" s="117"/>
      <c r="J183" s="117"/>
      <c r="K183" s="117"/>
      <c r="L183" s="117"/>
      <c r="M183" s="117"/>
      <c r="N183" s="117"/>
      <c r="O183" s="159"/>
      <c r="P183" s="159"/>
      <c r="Q183" s="117"/>
      <c r="R183" s="117"/>
      <c r="S183" s="117"/>
      <c r="T183" s="147">
        <v>0.53</v>
      </c>
      <c r="U183" s="117"/>
      <c r="V183" s="117"/>
      <c r="W183" s="117"/>
      <c r="X183" s="117"/>
      <c r="Y183" s="117"/>
      <c r="Z183" s="117"/>
      <c r="AA183" s="117"/>
    </row>
    <row r="184" spans="1:27" x14ac:dyDescent="0.3">
      <c r="A184" s="87"/>
      <c r="B184" s="87"/>
      <c r="C184" s="87"/>
      <c r="D184" s="87"/>
      <c r="E184" s="87"/>
      <c r="F184" s="87"/>
      <c r="G184" s="88"/>
      <c r="I184" s="117"/>
      <c r="J184" s="117"/>
      <c r="K184" s="117"/>
      <c r="L184" s="117"/>
      <c r="M184" s="117"/>
      <c r="N184" s="117"/>
      <c r="O184" s="159"/>
      <c r="P184" s="159"/>
      <c r="Q184" s="117"/>
      <c r="R184" s="117"/>
      <c r="S184" s="117"/>
      <c r="T184" s="147">
        <v>0.54</v>
      </c>
      <c r="U184" s="117"/>
      <c r="V184" s="117"/>
      <c r="W184" s="117"/>
      <c r="X184" s="117"/>
      <c r="Y184" s="117"/>
      <c r="Z184" s="117"/>
      <c r="AA184" s="117"/>
    </row>
    <row r="185" spans="1:27" x14ac:dyDescent="0.3">
      <c r="A185" s="87"/>
      <c r="B185" s="87"/>
      <c r="C185" s="87"/>
      <c r="D185" s="87"/>
      <c r="E185" s="87"/>
      <c r="F185" s="87"/>
      <c r="G185" s="88"/>
      <c r="I185" s="117"/>
      <c r="J185" s="117"/>
      <c r="K185" s="117"/>
      <c r="L185" s="117"/>
      <c r="M185" s="117"/>
      <c r="N185" s="117"/>
      <c r="O185" s="159"/>
      <c r="P185" s="159"/>
      <c r="Q185" s="117"/>
      <c r="R185" s="117"/>
      <c r="S185" s="117"/>
      <c r="T185" s="147">
        <v>0.55000000000000004</v>
      </c>
      <c r="U185" s="117"/>
      <c r="V185" s="117"/>
      <c r="W185" s="117"/>
      <c r="X185" s="117"/>
      <c r="Y185" s="117"/>
      <c r="Z185" s="117"/>
      <c r="AA185" s="117"/>
    </row>
    <row r="186" spans="1:27" x14ac:dyDescent="0.3">
      <c r="A186" s="87"/>
      <c r="B186" s="87"/>
      <c r="C186" s="87"/>
      <c r="D186" s="87"/>
      <c r="E186" s="87"/>
      <c r="F186" s="87"/>
      <c r="G186" s="88"/>
      <c r="I186" s="117"/>
      <c r="J186" s="117"/>
      <c r="K186" s="117"/>
      <c r="L186" s="117"/>
      <c r="M186" s="117"/>
      <c r="N186" s="117"/>
      <c r="O186" s="159"/>
      <c r="P186" s="159"/>
      <c r="Q186" s="117"/>
      <c r="R186" s="117"/>
      <c r="S186" s="117"/>
      <c r="T186" s="147">
        <v>0.56000000000000005</v>
      </c>
      <c r="U186" s="117"/>
      <c r="V186" s="117"/>
      <c r="W186" s="117"/>
      <c r="X186" s="117"/>
      <c r="Y186" s="117"/>
      <c r="Z186" s="117"/>
      <c r="AA186" s="117"/>
    </row>
    <row r="187" spans="1:27" x14ac:dyDescent="0.3">
      <c r="A187" s="87"/>
      <c r="B187" s="87"/>
      <c r="C187" s="87"/>
      <c r="D187" s="87"/>
      <c r="E187" s="87"/>
      <c r="F187" s="87"/>
      <c r="G187" s="88"/>
      <c r="I187" s="117"/>
      <c r="J187" s="117"/>
      <c r="K187" s="117"/>
      <c r="L187" s="117"/>
      <c r="M187" s="117"/>
      <c r="N187" s="117"/>
      <c r="O187" s="159"/>
      <c r="P187" s="159"/>
      <c r="Q187" s="117"/>
      <c r="R187" s="117"/>
      <c r="S187" s="117"/>
      <c r="T187" s="147">
        <v>0.56999999999999995</v>
      </c>
      <c r="U187" s="117"/>
      <c r="V187" s="117"/>
      <c r="W187" s="117"/>
      <c r="X187" s="117"/>
      <c r="Y187" s="117"/>
      <c r="Z187" s="117"/>
      <c r="AA187" s="117"/>
    </row>
    <row r="188" spans="1:27" x14ac:dyDescent="0.3">
      <c r="A188" s="87"/>
      <c r="B188" s="87"/>
      <c r="C188" s="87"/>
      <c r="D188" s="87"/>
      <c r="E188" s="87"/>
      <c r="F188" s="87"/>
      <c r="G188" s="88"/>
      <c r="I188" s="117"/>
      <c r="J188" s="117"/>
      <c r="K188" s="117"/>
      <c r="L188" s="117"/>
      <c r="M188" s="117"/>
      <c r="N188" s="117"/>
      <c r="O188" s="159"/>
      <c r="P188" s="159"/>
      <c r="Q188" s="117"/>
      <c r="R188" s="117"/>
      <c r="S188" s="117"/>
      <c r="T188" s="147">
        <v>0.57999999999999996</v>
      </c>
      <c r="U188" s="117"/>
      <c r="V188" s="117"/>
      <c r="W188" s="117"/>
      <c r="X188" s="117"/>
      <c r="Y188" s="117"/>
      <c r="Z188" s="117"/>
      <c r="AA188" s="117"/>
    </row>
    <row r="189" spans="1:27" x14ac:dyDescent="0.3">
      <c r="A189" s="87"/>
      <c r="B189" s="87"/>
      <c r="C189" s="87"/>
      <c r="D189" s="87"/>
      <c r="E189" s="87"/>
      <c r="F189" s="87"/>
      <c r="G189" s="88"/>
      <c r="I189" s="117"/>
      <c r="J189" s="117"/>
      <c r="K189" s="117"/>
      <c r="L189" s="117"/>
      <c r="M189" s="117"/>
      <c r="N189" s="117"/>
      <c r="O189" s="159"/>
      <c r="P189" s="159"/>
      <c r="Q189" s="117"/>
      <c r="R189" s="117"/>
      <c r="S189" s="117"/>
      <c r="T189" s="147">
        <v>0.59</v>
      </c>
      <c r="U189" s="117"/>
      <c r="V189" s="117"/>
      <c r="W189" s="117"/>
      <c r="X189" s="117"/>
      <c r="Y189" s="117"/>
      <c r="Z189" s="117"/>
      <c r="AA189" s="117"/>
    </row>
    <row r="190" spans="1:27" x14ac:dyDescent="0.3">
      <c r="A190" s="87"/>
      <c r="B190" s="87"/>
      <c r="C190" s="87"/>
      <c r="D190" s="87"/>
      <c r="E190" s="87"/>
      <c r="F190" s="87"/>
      <c r="G190" s="88"/>
      <c r="I190" s="117"/>
      <c r="J190" s="117"/>
      <c r="K190" s="117"/>
      <c r="L190" s="117"/>
      <c r="M190" s="117"/>
      <c r="N190" s="117"/>
      <c r="O190" s="159"/>
      <c r="P190" s="159"/>
      <c r="Q190" s="117"/>
      <c r="R190" s="117"/>
      <c r="S190" s="117"/>
      <c r="T190" s="147">
        <v>0.6</v>
      </c>
      <c r="U190" s="117"/>
      <c r="V190" s="117"/>
      <c r="W190" s="117"/>
      <c r="X190" s="117"/>
      <c r="Y190" s="117"/>
      <c r="Z190" s="117"/>
      <c r="AA190" s="117"/>
    </row>
    <row r="191" spans="1:27" x14ac:dyDescent="0.3">
      <c r="A191" s="87"/>
      <c r="B191" s="87"/>
      <c r="C191" s="87"/>
      <c r="D191" s="87"/>
      <c r="E191" s="87"/>
      <c r="F191" s="87"/>
      <c r="G191" s="88"/>
      <c r="I191" s="117"/>
      <c r="J191" s="117"/>
      <c r="K191" s="117"/>
      <c r="L191" s="117"/>
      <c r="M191" s="117"/>
      <c r="N191" s="117"/>
      <c r="O191" s="159"/>
      <c r="P191" s="159"/>
      <c r="Q191" s="117"/>
      <c r="R191" s="117"/>
      <c r="S191" s="117"/>
      <c r="T191" s="147">
        <v>0.61</v>
      </c>
      <c r="U191" s="117"/>
      <c r="V191" s="117"/>
      <c r="W191" s="117"/>
      <c r="X191" s="117"/>
      <c r="Y191" s="117"/>
      <c r="Z191" s="117"/>
      <c r="AA191" s="117"/>
    </row>
    <row r="192" spans="1:27" x14ac:dyDescent="0.3">
      <c r="A192" s="87"/>
      <c r="B192" s="87"/>
      <c r="C192" s="87"/>
      <c r="D192" s="87"/>
      <c r="E192" s="87"/>
      <c r="F192" s="87"/>
      <c r="G192" s="88"/>
      <c r="I192" s="117"/>
      <c r="J192" s="117"/>
      <c r="K192" s="117"/>
      <c r="L192" s="117"/>
      <c r="M192" s="117"/>
      <c r="N192" s="117"/>
      <c r="O192" s="159"/>
      <c r="P192" s="159"/>
      <c r="Q192" s="117"/>
      <c r="R192" s="117"/>
      <c r="S192" s="117"/>
      <c r="T192" s="147">
        <v>0.62</v>
      </c>
      <c r="U192" s="117"/>
      <c r="V192" s="117"/>
      <c r="W192" s="117"/>
      <c r="X192" s="117"/>
      <c r="Y192" s="117"/>
      <c r="Z192" s="117"/>
      <c r="AA192" s="117"/>
    </row>
    <row r="193" spans="1:40" x14ac:dyDescent="0.3">
      <c r="A193" s="87"/>
      <c r="B193" s="87"/>
      <c r="C193" s="87"/>
      <c r="D193" s="87"/>
      <c r="E193" s="87"/>
      <c r="F193" s="87"/>
      <c r="G193" s="88"/>
      <c r="I193" s="117"/>
      <c r="J193" s="117"/>
      <c r="K193" s="117"/>
      <c r="L193" s="117"/>
      <c r="M193" s="117"/>
      <c r="N193" s="117"/>
      <c r="O193" s="159"/>
      <c r="P193" s="159"/>
      <c r="Q193" s="117"/>
      <c r="R193" s="117"/>
      <c r="S193" s="117"/>
      <c r="T193" s="147">
        <v>0.63</v>
      </c>
      <c r="U193" s="117"/>
      <c r="V193" s="117"/>
      <c r="W193" s="117"/>
      <c r="X193" s="117"/>
      <c r="Y193" s="117"/>
      <c r="Z193" s="117"/>
      <c r="AA193" s="117"/>
    </row>
    <row r="194" spans="1:40" x14ac:dyDescent="0.3">
      <c r="A194" s="87"/>
      <c r="B194" s="87"/>
      <c r="C194" s="87"/>
      <c r="D194" s="87"/>
      <c r="E194" s="87"/>
      <c r="F194" s="87"/>
      <c r="G194" s="88"/>
      <c r="N194" s="117"/>
      <c r="O194" s="159"/>
      <c r="P194" s="159"/>
      <c r="Q194" s="117"/>
      <c r="R194" s="117"/>
      <c r="S194" s="117"/>
      <c r="T194" s="147">
        <v>0.64</v>
      </c>
      <c r="U194" s="117"/>
      <c r="V194" s="117"/>
      <c r="W194" s="117"/>
      <c r="X194" s="117"/>
      <c r="Y194" s="117"/>
      <c r="Z194" s="117"/>
    </row>
    <row r="195" spans="1:40" x14ac:dyDescent="0.3">
      <c r="A195" s="87"/>
      <c r="B195" s="87"/>
      <c r="C195" s="87"/>
      <c r="D195" s="87"/>
      <c r="E195" s="87"/>
      <c r="F195" s="87"/>
      <c r="G195" s="88"/>
      <c r="N195" s="117"/>
      <c r="O195" s="159"/>
      <c r="P195" s="159"/>
      <c r="Q195" s="117"/>
      <c r="R195" s="117"/>
      <c r="S195" s="117"/>
      <c r="T195" s="147">
        <v>0.65</v>
      </c>
      <c r="U195" s="117"/>
      <c r="V195" s="117"/>
      <c r="W195" s="117"/>
      <c r="X195" s="117"/>
      <c r="Y195" s="117"/>
      <c r="Z195" s="117"/>
    </row>
    <row r="196" spans="1:40" x14ac:dyDescent="0.3">
      <c r="A196" s="87"/>
      <c r="B196" s="87"/>
      <c r="C196" s="87"/>
      <c r="D196" s="87"/>
      <c r="E196" s="87"/>
      <c r="F196" s="87"/>
      <c r="G196" s="88"/>
      <c r="N196" s="117"/>
      <c r="O196" s="159"/>
      <c r="P196" s="159"/>
      <c r="Q196" s="117"/>
      <c r="R196" s="117"/>
      <c r="S196" s="117"/>
      <c r="T196" s="147">
        <v>0.66</v>
      </c>
      <c r="U196" s="117"/>
      <c r="V196" s="117"/>
      <c r="W196" s="117"/>
      <c r="X196" s="117"/>
      <c r="Y196" s="117"/>
      <c r="Z196" s="117"/>
    </row>
    <row r="197" spans="1:40" x14ac:dyDescent="0.3">
      <c r="A197" s="87"/>
      <c r="B197" s="87"/>
      <c r="C197" s="87"/>
      <c r="D197" s="87"/>
      <c r="E197" s="87"/>
      <c r="F197" s="87"/>
      <c r="G197" s="88"/>
      <c r="N197" s="117"/>
      <c r="O197" s="159"/>
      <c r="P197" s="159"/>
      <c r="Q197" s="117"/>
      <c r="R197" s="117"/>
      <c r="S197" s="117"/>
      <c r="T197" s="147">
        <v>0.67</v>
      </c>
      <c r="U197" s="117"/>
      <c r="V197" s="117"/>
      <c r="W197" s="117"/>
      <c r="X197" s="117"/>
      <c r="Y197" s="117"/>
      <c r="Z197" s="117"/>
    </row>
    <row r="198" spans="1:40" x14ac:dyDescent="0.3">
      <c r="A198" s="87"/>
      <c r="B198" s="87"/>
      <c r="C198" s="87"/>
      <c r="D198" s="87"/>
      <c r="E198" s="87"/>
      <c r="F198" s="87"/>
      <c r="G198" s="88"/>
      <c r="N198" s="117"/>
      <c r="O198" s="159"/>
      <c r="P198" s="159"/>
      <c r="Q198" s="117"/>
      <c r="R198" s="117"/>
      <c r="S198" s="117"/>
      <c r="T198" s="147">
        <v>0.68</v>
      </c>
      <c r="U198" s="117"/>
      <c r="V198" s="117"/>
      <c r="W198" s="117"/>
      <c r="X198" s="117"/>
      <c r="Y198" s="117"/>
      <c r="Z198" s="117"/>
    </row>
    <row r="199" spans="1:40" x14ac:dyDescent="0.3">
      <c r="A199" s="87"/>
      <c r="B199" s="87"/>
      <c r="C199" s="87"/>
      <c r="D199" s="87"/>
      <c r="E199" s="87"/>
      <c r="F199" s="87"/>
      <c r="G199" s="88"/>
      <c r="N199" s="117"/>
      <c r="O199" s="159"/>
      <c r="P199" s="159"/>
      <c r="Q199" s="117"/>
      <c r="R199" s="117"/>
      <c r="S199" s="117"/>
      <c r="T199" s="147">
        <v>0.69</v>
      </c>
      <c r="U199" s="117"/>
      <c r="V199" s="117"/>
      <c r="W199" s="117"/>
      <c r="X199" s="117"/>
      <c r="Y199" s="117"/>
      <c r="Z199" s="117"/>
    </row>
    <row r="200" spans="1:40" x14ac:dyDescent="0.3">
      <c r="A200" s="87"/>
      <c r="B200" s="87"/>
      <c r="C200" s="87"/>
      <c r="D200" s="87"/>
      <c r="E200" s="87"/>
      <c r="F200" s="87"/>
      <c r="G200" s="88"/>
      <c r="N200" s="117"/>
      <c r="O200" s="159"/>
      <c r="P200" s="159"/>
      <c r="Q200" s="117"/>
      <c r="R200" s="117"/>
      <c r="S200" s="117"/>
      <c r="T200" s="147">
        <v>0.7</v>
      </c>
      <c r="U200" s="117"/>
      <c r="V200" s="117"/>
      <c r="W200" s="117"/>
      <c r="X200" s="117"/>
      <c r="Y200" s="117"/>
      <c r="Z200" s="117"/>
    </row>
    <row r="201" spans="1:40" s="121" customFormat="1" x14ac:dyDescent="0.3">
      <c r="A201" s="87"/>
      <c r="B201" s="87"/>
      <c r="C201" s="87"/>
      <c r="D201" s="87"/>
      <c r="E201" s="87"/>
      <c r="F201" s="87"/>
      <c r="G201" s="88"/>
      <c r="H201" s="117"/>
      <c r="N201" s="117"/>
      <c r="O201" s="159"/>
      <c r="P201" s="159"/>
      <c r="Q201" s="117"/>
      <c r="R201" s="117"/>
      <c r="S201" s="117"/>
      <c r="T201" s="147">
        <v>0.71</v>
      </c>
      <c r="U201" s="117"/>
      <c r="V201" s="117"/>
      <c r="W201" s="117"/>
      <c r="X201" s="117"/>
      <c r="Y201" s="117"/>
      <c r="Z201" s="117"/>
      <c r="AB201" s="117"/>
      <c r="AC201" s="119"/>
      <c r="AD201" s="117"/>
      <c r="AE201" s="117"/>
      <c r="AF201" s="117"/>
      <c r="AG201" s="117"/>
      <c r="AH201" s="117"/>
      <c r="AI201" s="117"/>
      <c r="AJ201" s="117"/>
      <c r="AK201" s="117"/>
      <c r="AL201" s="117"/>
      <c r="AM201" s="117"/>
      <c r="AN201" s="120"/>
    </row>
    <row r="202" spans="1:40" s="121" customFormat="1" x14ac:dyDescent="0.3">
      <c r="A202" s="87"/>
      <c r="B202" s="87"/>
      <c r="C202" s="87"/>
      <c r="D202" s="87"/>
      <c r="E202" s="87"/>
      <c r="F202" s="87"/>
      <c r="G202" s="88"/>
      <c r="H202" s="117"/>
      <c r="N202" s="160"/>
      <c r="O202" s="159"/>
      <c r="P202" s="159"/>
      <c r="Q202" s="117"/>
      <c r="R202" s="117"/>
      <c r="S202" s="117"/>
      <c r="T202" s="147">
        <v>0.72</v>
      </c>
      <c r="U202" s="117"/>
      <c r="V202" s="117"/>
      <c r="W202" s="117"/>
      <c r="X202" s="117"/>
      <c r="Y202" s="117"/>
      <c r="Z202" s="117"/>
      <c r="AB202" s="117"/>
      <c r="AC202" s="119"/>
      <c r="AD202" s="117"/>
      <c r="AE202" s="117"/>
      <c r="AF202" s="117"/>
      <c r="AG202" s="117"/>
      <c r="AH202" s="117"/>
      <c r="AI202" s="117"/>
      <c r="AJ202" s="117"/>
      <c r="AK202" s="117"/>
      <c r="AL202" s="117"/>
      <c r="AM202" s="117"/>
      <c r="AN202" s="120"/>
    </row>
    <row r="203" spans="1:40" s="121" customFormat="1" x14ac:dyDescent="0.3">
      <c r="A203" s="87"/>
      <c r="B203" s="87"/>
      <c r="C203" s="87"/>
      <c r="D203" s="87"/>
      <c r="E203" s="87"/>
      <c r="F203" s="87"/>
      <c r="G203" s="88"/>
      <c r="H203" s="117"/>
      <c r="N203" s="160"/>
      <c r="O203" s="159"/>
      <c r="P203" s="159"/>
      <c r="Q203" s="117"/>
      <c r="R203" s="117"/>
      <c r="S203" s="117"/>
      <c r="T203" s="147">
        <v>0.73</v>
      </c>
      <c r="U203" s="117"/>
      <c r="V203" s="117"/>
      <c r="W203" s="117"/>
      <c r="X203" s="117"/>
      <c r="Y203" s="117"/>
      <c r="Z203" s="117"/>
      <c r="AB203" s="117"/>
      <c r="AC203" s="119"/>
      <c r="AD203" s="117"/>
      <c r="AE203" s="117"/>
      <c r="AF203" s="117"/>
      <c r="AG203" s="117"/>
      <c r="AH203" s="117"/>
      <c r="AI203" s="117"/>
      <c r="AJ203" s="117"/>
      <c r="AK203" s="117"/>
      <c r="AL203" s="117"/>
      <c r="AM203" s="117"/>
      <c r="AN203" s="120"/>
    </row>
    <row r="204" spans="1:40" s="121" customFormat="1" x14ac:dyDescent="0.3">
      <c r="A204" s="87"/>
      <c r="B204" s="87"/>
      <c r="C204" s="87"/>
      <c r="D204" s="87"/>
      <c r="E204" s="87"/>
      <c r="F204" s="87"/>
      <c r="G204" s="88"/>
      <c r="H204" s="117"/>
      <c r="N204" s="160"/>
      <c r="O204" s="159"/>
      <c r="P204" s="159"/>
      <c r="Q204" s="117"/>
      <c r="R204" s="117"/>
      <c r="S204" s="117"/>
      <c r="T204" s="147">
        <v>0.74</v>
      </c>
      <c r="U204" s="117"/>
      <c r="V204" s="117"/>
      <c r="W204" s="117"/>
      <c r="X204" s="117"/>
      <c r="Y204" s="117"/>
      <c r="Z204" s="117"/>
      <c r="AB204" s="117"/>
      <c r="AC204" s="119"/>
      <c r="AD204" s="117"/>
      <c r="AE204" s="117"/>
      <c r="AF204" s="117"/>
      <c r="AG204" s="117"/>
      <c r="AH204" s="117"/>
      <c r="AI204" s="117"/>
      <c r="AJ204" s="117"/>
      <c r="AK204" s="117"/>
      <c r="AL204" s="117"/>
      <c r="AM204" s="117"/>
      <c r="AN204" s="120"/>
    </row>
    <row r="205" spans="1:40" s="121" customFormat="1" x14ac:dyDescent="0.3">
      <c r="A205" s="87"/>
      <c r="B205" s="87"/>
      <c r="C205" s="87"/>
      <c r="D205" s="87"/>
      <c r="E205" s="87"/>
      <c r="F205" s="87"/>
      <c r="G205" s="88"/>
      <c r="H205" s="117"/>
      <c r="N205" s="160"/>
      <c r="O205" s="159"/>
      <c r="P205" s="159"/>
      <c r="Q205" s="117"/>
      <c r="R205" s="117"/>
      <c r="S205" s="117"/>
      <c r="T205" s="147">
        <v>0.75</v>
      </c>
      <c r="U205" s="117"/>
      <c r="V205" s="117"/>
      <c r="W205" s="117"/>
      <c r="X205" s="117"/>
      <c r="Y205" s="117"/>
      <c r="Z205" s="117"/>
      <c r="AB205" s="117"/>
      <c r="AC205" s="119"/>
      <c r="AD205" s="117"/>
      <c r="AE205" s="117"/>
      <c r="AF205" s="117"/>
      <c r="AG205" s="117"/>
      <c r="AH205" s="117"/>
      <c r="AI205" s="117"/>
      <c r="AJ205" s="117"/>
      <c r="AK205" s="117"/>
      <c r="AL205" s="117"/>
      <c r="AM205" s="117"/>
      <c r="AN205" s="120"/>
    </row>
    <row r="206" spans="1:40" s="121" customFormat="1" x14ac:dyDescent="0.3">
      <c r="A206" s="87"/>
      <c r="B206" s="87"/>
      <c r="C206" s="87"/>
      <c r="D206" s="87"/>
      <c r="E206" s="87"/>
      <c r="F206" s="87"/>
      <c r="G206" s="88"/>
      <c r="H206" s="117"/>
      <c r="N206" s="160"/>
      <c r="O206" s="159"/>
      <c r="P206" s="159"/>
      <c r="Q206" s="117"/>
      <c r="R206" s="117"/>
      <c r="S206" s="117"/>
      <c r="T206" s="147">
        <v>0.76</v>
      </c>
      <c r="U206" s="117"/>
      <c r="V206" s="117"/>
      <c r="W206" s="117"/>
      <c r="X206" s="117"/>
      <c r="Y206" s="117"/>
      <c r="Z206" s="117"/>
      <c r="AB206" s="117"/>
      <c r="AC206" s="119"/>
      <c r="AD206" s="117"/>
      <c r="AE206" s="117"/>
      <c r="AF206" s="117"/>
      <c r="AG206" s="117"/>
      <c r="AH206" s="117"/>
      <c r="AI206" s="117"/>
      <c r="AJ206" s="117"/>
      <c r="AK206" s="117"/>
      <c r="AL206" s="117"/>
      <c r="AM206" s="117"/>
      <c r="AN206" s="120"/>
    </row>
    <row r="207" spans="1:40" s="121" customFormat="1" x14ac:dyDescent="0.3">
      <c r="A207" s="87"/>
      <c r="B207" s="87"/>
      <c r="C207" s="87"/>
      <c r="D207" s="87"/>
      <c r="E207" s="87"/>
      <c r="F207" s="87"/>
      <c r="G207" s="88"/>
      <c r="H207" s="117"/>
      <c r="N207" s="160"/>
      <c r="O207" s="117"/>
      <c r="P207" s="117"/>
      <c r="Q207" s="117"/>
      <c r="R207" s="117"/>
      <c r="S207" s="117"/>
      <c r="T207" s="147">
        <v>0.77</v>
      </c>
      <c r="U207" s="117"/>
      <c r="V207" s="117"/>
      <c r="W207" s="117"/>
      <c r="X207" s="117"/>
      <c r="Y207" s="117"/>
      <c r="Z207" s="117"/>
      <c r="AB207" s="117"/>
      <c r="AC207" s="119"/>
      <c r="AD207" s="117"/>
      <c r="AE207" s="117"/>
      <c r="AF207" s="117"/>
      <c r="AG207" s="117"/>
      <c r="AH207" s="117"/>
      <c r="AI207" s="117"/>
      <c r="AJ207" s="117"/>
      <c r="AK207" s="117"/>
      <c r="AL207" s="117"/>
      <c r="AM207" s="117"/>
      <c r="AN207" s="120"/>
    </row>
    <row r="208" spans="1:40" s="121" customFormat="1" x14ac:dyDescent="0.3">
      <c r="A208" s="87"/>
      <c r="B208" s="87"/>
      <c r="C208" s="87"/>
      <c r="D208" s="87"/>
      <c r="E208" s="87"/>
      <c r="F208" s="87"/>
      <c r="G208" s="88"/>
      <c r="H208" s="117"/>
      <c r="N208" s="160"/>
      <c r="O208" s="117"/>
      <c r="P208" s="117"/>
      <c r="Q208" s="117"/>
      <c r="R208" s="117"/>
      <c r="S208" s="117"/>
      <c r="T208" s="147">
        <v>0.78</v>
      </c>
      <c r="U208" s="117"/>
      <c r="V208" s="117"/>
      <c r="W208" s="117"/>
      <c r="X208" s="117"/>
      <c r="Y208" s="117"/>
      <c r="Z208" s="117"/>
      <c r="AB208" s="117"/>
      <c r="AC208" s="119"/>
      <c r="AD208" s="117"/>
      <c r="AE208" s="117"/>
      <c r="AF208" s="117"/>
      <c r="AG208" s="117"/>
      <c r="AH208" s="117"/>
      <c r="AI208" s="117"/>
      <c r="AJ208" s="117"/>
      <c r="AK208" s="117"/>
      <c r="AL208" s="117"/>
      <c r="AM208" s="117"/>
      <c r="AN208" s="120"/>
    </row>
    <row r="209" spans="1:40" s="121" customFormat="1" x14ac:dyDescent="0.3">
      <c r="A209" s="87"/>
      <c r="B209" s="87"/>
      <c r="C209" s="87"/>
      <c r="D209" s="87"/>
      <c r="E209" s="87"/>
      <c r="F209" s="87"/>
      <c r="G209" s="88"/>
      <c r="H209" s="117"/>
      <c r="N209" s="119"/>
      <c r="O209" s="117"/>
      <c r="P209" s="117"/>
      <c r="Q209" s="117"/>
      <c r="R209" s="117"/>
      <c r="S209" s="117"/>
      <c r="T209" s="147">
        <v>0.79</v>
      </c>
      <c r="U209" s="117"/>
      <c r="V209" s="117"/>
      <c r="W209" s="117"/>
      <c r="X209" s="117"/>
      <c r="Y209" s="117"/>
      <c r="Z209" s="117"/>
      <c r="AB209" s="117"/>
      <c r="AC209" s="119"/>
      <c r="AD209" s="117"/>
      <c r="AE209" s="117"/>
      <c r="AF209" s="117"/>
      <c r="AG209" s="117"/>
      <c r="AH209" s="117"/>
      <c r="AI209" s="117"/>
      <c r="AJ209" s="117"/>
      <c r="AK209" s="117"/>
      <c r="AL209" s="117"/>
      <c r="AM209" s="117"/>
      <c r="AN209" s="120"/>
    </row>
    <row r="210" spans="1:40" s="121" customFormat="1" x14ac:dyDescent="0.3">
      <c r="A210" s="87"/>
      <c r="B210" s="87"/>
      <c r="C210" s="87"/>
      <c r="D210" s="87"/>
      <c r="E210" s="87"/>
      <c r="F210" s="87"/>
      <c r="G210" s="88"/>
      <c r="H210" s="117"/>
      <c r="N210" s="119"/>
      <c r="O210" s="117"/>
      <c r="P210" s="117"/>
      <c r="Q210" s="117"/>
      <c r="R210" s="117"/>
      <c r="S210" s="117"/>
      <c r="T210" s="147">
        <v>0.8</v>
      </c>
      <c r="U210" s="117"/>
      <c r="V210" s="117"/>
      <c r="W210" s="117"/>
      <c r="X210" s="117"/>
      <c r="Y210" s="117"/>
      <c r="Z210" s="117"/>
      <c r="AB210" s="117"/>
      <c r="AC210" s="119"/>
      <c r="AD210" s="117"/>
      <c r="AE210" s="117"/>
      <c r="AF210" s="117"/>
      <c r="AG210" s="117"/>
      <c r="AH210" s="117"/>
      <c r="AI210" s="117"/>
      <c r="AJ210" s="117"/>
      <c r="AK210" s="117"/>
      <c r="AL210" s="117"/>
      <c r="AM210" s="117"/>
      <c r="AN210" s="120"/>
    </row>
    <row r="211" spans="1:40" s="121" customFormat="1" x14ac:dyDescent="0.3">
      <c r="A211" s="87"/>
      <c r="B211" s="87"/>
      <c r="C211" s="87"/>
      <c r="D211" s="87"/>
      <c r="E211" s="87"/>
      <c r="F211" s="87"/>
      <c r="G211" s="88"/>
      <c r="H211" s="117"/>
      <c r="N211" s="119"/>
      <c r="O211" s="117"/>
      <c r="P211" s="117"/>
      <c r="Q211" s="117"/>
      <c r="R211" s="117"/>
      <c r="S211" s="117"/>
      <c r="T211" s="147">
        <v>0.81</v>
      </c>
      <c r="U211" s="117"/>
      <c r="V211" s="117"/>
      <c r="W211" s="117"/>
      <c r="X211" s="117"/>
      <c r="Y211" s="117"/>
      <c r="Z211" s="117"/>
      <c r="AB211" s="117"/>
      <c r="AC211" s="119"/>
      <c r="AD211" s="117"/>
      <c r="AE211" s="117"/>
      <c r="AF211" s="117"/>
      <c r="AG211" s="117"/>
      <c r="AH211" s="117"/>
      <c r="AI211" s="117"/>
      <c r="AJ211" s="117"/>
      <c r="AK211" s="117"/>
      <c r="AL211" s="117"/>
      <c r="AM211" s="117"/>
      <c r="AN211" s="120"/>
    </row>
    <row r="212" spans="1:40" s="121" customFormat="1" x14ac:dyDescent="0.3">
      <c r="A212" s="87"/>
      <c r="B212" s="87"/>
      <c r="C212" s="87"/>
      <c r="D212" s="87"/>
      <c r="E212" s="87"/>
      <c r="F212" s="87"/>
      <c r="G212" s="88"/>
      <c r="H212" s="117"/>
      <c r="N212" s="119"/>
      <c r="O212" s="117"/>
      <c r="P212" s="117"/>
      <c r="Q212" s="117"/>
      <c r="R212" s="117"/>
      <c r="S212" s="117"/>
      <c r="T212" s="147">
        <v>0.82</v>
      </c>
      <c r="U212" s="117"/>
      <c r="V212" s="117"/>
      <c r="W212" s="117"/>
      <c r="X212" s="117"/>
      <c r="Y212" s="117"/>
      <c r="Z212" s="117"/>
      <c r="AB212" s="117"/>
      <c r="AC212" s="119"/>
      <c r="AD212" s="117"/>
      <c r="AE212" s="117"/>
      <c r="AF212" s="117"/>
      <c r="AG212" s="117"/>
      <c r="AH212" s="117"/>
      <c r="AI212" s="117"/>
      <c r="AJ212" s="117"/>
      <c r="AK212" s="117"/>
      <c r="AL212" s="117"/>
      <c r="AM212" s="117"/>
      <c r="AN212" s="120"/>
    </row>
    <row r="213" spans="1:40" s="121" customFormat="1" x14ac:dyDescent="0.3">
      <c r="A213" s="87"/>
      <c r="B213" s="87"/>
      <c r="C213" s="87"/>
      <c r="D213" s="87"/>
      <c r="E213" s="87"/>
      <c r="F213" s="87"/>
      <c r="G213" s="88"/>
      <c r="H213" s="117"/>
      <c r="N213" s="119"/>
      <c r="O213" s="117"/>
      <c r="P213" s="117"/>
      <c r="Q213" s="117"/>
      <c r="R213" s="117"/>
      <c r="S213" s="117"/>
      <c r="T213" s="147">
        <v>0.83</v>
      </c>
      <c r="U213" s="117"/>
      <c r="V213" s="117"/>
      <c r="W213" s="117"/>
      <c r="X213" s="117"/>
      <c r="Y213" s="117"/>
      <c r="Z213" s="117"/>
      <c r="AB213" s="117"/>
      <c r="AC213" s="119"/>
      <c r="AD213" s="117"/>
      <c r="AE213" s="117"/>
      <c r="AF213" s="117"/>
      <c r="AG213" s="117"/>
      <c r="AH213" s="117"/>
      <c r="AI213" s="117"/>
      <c r="AJ213" s="117"/>
      <c r="AK213" s="117"/>
      <c r="AL213" s="117"/>
      <c r="AM213" s="117"/>
      <c r="AN213" s="120"/>
    </row>
    <row r="214" spans="1:40" s="121" customFormat="1" x14ac:dyDescent="0.3">
      <c r="A214" s="87"/>
      <c r="B214" s="87"/>
      <c r="C214" s="87"/>
      <c r="D214" s="87"/>
      <c r="E214" s="87"/>
      <c r="F214" s="87"/>
      <c r="G214" s="88"/>
      <c r="H214" s="117"/>
      <c r="N214" s="119"/>
      <c r="O214" s="117"/>
      <c r="P214" s="117"/>
      <c r="Q214" s="117"/>
      <c r="R214" s="117"/>
      <c r="S214" s="117"/>
      <c r="T214" s="147">
        <v>0.84</v>
      </c>
      <c r="U214" s="117"/>
      <c r="V214" s="117"/>
      <c r="W214" s="117"/>
      <c r="X214" s="117"/>
      <c r="Y214" s="117"/>
      <c r="Z214" s="117"/>
      <c r="AB214" s="117"/>
      <c r="AC214" s="119"/>
      <c r="AD214" s="117"/>
      <c r="AE214" s="117"/>
      <c r="AF214" s="117"/>
      <c r="AG214" s="117"/>
      <c r="AH214" s="117"/>
      <c r="AI214" s="117"/>
      <c r="AJ214" s="117"/>
      <c r="AK214" s="117"/>
      <c r="AL214" s="117"/>
      <c r="AM214" s="117"/>
      <c r="AN214" s="120"/>
    </row>
    <row r="215" spans="1:40" s="121" customFormat="1" x14ac:dyDescent="0.3">
      <c r="A215" s="87"/>
      <c r="B215" s="87"/>
      <c r="C215" s="87"/>
      <c r="D215" s="87"/>
      <c r="E215" s="87"/>
      <c r="F215" s="87"/>
      <c r="G215" s="88"/>
      <c r="H215" s="117"/>
      <c r="N215" s="119"/>
      <c r="O215" s="117"/>
      <c r="P215" s="117"/>
      <c r="Q215" s="117"/>
      <c r="R215" s="117"/>
      <c r="S215" s="117"/>
      <c r="T215" s="147">
        <v>0.85</v>
      </c>
      <c r="U215" s="117"/>
      <c r="V215" s="117"/>
      <c r="W215" s="117"/>
      <c r="X215" s="117"/>
      <c r="Y215" s="117"/>
      <c r="Z215" s="117"/>
      <c r="AB215" s="117"/>
      <c r="AC215" s="119"/>
      <c r="AD215" s="117"/>
      <c r="AE215" s="117"/>
      <c r="AF215" s="117"/>
      <c r="AG215" s="117"/>
      <c r="AH215" s="117"/>
      <c r="AI215" s="117"/>
      <c r="AJ215" s="117"/>
      <c r="AK215" s="117"/>
      <c r="AL215" s="117"/>
      <c r="AM215" s="117"/>
      <c r="AN215" s="120"/>
    </row>
    <row r="216" spans="1:40" s="121" customFormat="1" x14ac:dyDescent="0.3">
      <c r="A216" s="87"/>
      <c r="B216" s="87"/>
      <c r="C216" s="87"/>
      <c r="D216" s="87"/>
      <c r="E216" s="87"/>
      <c r="F216" s="87"/>
      <c r="G216" s="88"/>
      <c r="H216" s="117"/>
      <c r="N216" s="119"/>
      <c r="O216" s="117"/>
      <c r="P216" s="117"/>
      <c r="Q216" s="117"/>
      <c r="R216" s="117"/>
      <c r="S216" s="117"/>
      <c r="T216" s="147">
        <v>0.86</v>
      </c>
      <c r="U216" s="117"/>
      <c r="V216" s="117"/>
      <c r="W216" s="117"/>
      <c r="X216" s="117"/>
      <c r="Y216" s="117"/>
      <c r="Z216" s="117"/>
      <c r="AB216" s="117"/>
      <c r="AC216" s="119"/>
      <c r="AD216" s="117"/>
      <c r="AE216" s="117"/>
      <c r="AF216" s="117"/>
      <c r="AG216" s="117"/>
      <c r="AH216" s="117"/>
      <c r="AI216" s="117"/>
      <c r="AJ216" s="117"/>
      <c r="AK216" s="117"/>
      <c r="AL216" s="117"/>
      <c r="AM216" s="117"/>
      <c r="AN216" s="120"/>
    </row>
    <row r="217" spans="1:40" s="121" customFormat="1" x14ac:dyDescent="0.3">
      <c r="A217" s="87"/>
      <c r="B217" s="87"/>
      <c r="C217" s="87"/>
      <c r="D217" s="87"/>
      <c r="E217" s="87"/>
      <c r="F217" s="87"/>
      <c r="G217" s="88"/>
      <c r="H217" s="117"/>
      <c r="N217" s="119"/>
      <c r="O217" s="117"/>
      <c r="P217" s="117"/>
      <c r="Q217" s="117"/>
      <c r="R217" s="117"/>
      <c r="S217" s="117"/>
      <c r="T217" s="147">
        <v>0.87</v>
      </c>
      <c r="U217" s="117"/>
      <c r="V217" s="117"/>
      <c r="W217" s="117"/>
      <c r="X217" s="117"/>
      <c r="Y217" s="117"/>
      <c r="Z217" s="117"/>
      <c r="AB217" s="117"/>
      <c r="AC217" s="119"/>
      <c r="AD217" s="117"/>
      <c r="AE217" s="117"/>
      <c r="AF217" s="117"/>
      <c r="AG217" s="117"/>
      <c r="AH217" s="117"/>
      <c r="AI217" s="117"/>
      <c r="AJ217" s="117"/>
      <c r="AK217" s="117"/>
      <c r="AL217" s="117"/>
      <c r="AM217" s="117"/>
      <c r="AN217" s="120"/>
    </row>
    <row r="218" spans="1:40" s="121" customFormat="1" x14ac:dyDescent="0.3">
      <c r="A218" s="87"/>
      <c r="B218" s="87"/>
      <c r="C218" s="87"/>
      <c r="D218" s="87"/>
      <c r="E218" s="87"/>
      <c r="F218" s="87"/>
      <c r="G218" s="88"/>
      <c r="H218" s="117"/>
      <c r="N218" s="119"/>
      <c r="O218" s="117"/>
      <c r="P218" s="117"/>
      <c r="Q218" s="117"/>
      <c r="R218" s="117"/>
      <c r="S218" s="117"/>
      <c r="T218" s="147">
        <v>0.88</v>
      </c>
      <c r="U218" s="117"/>
      <c r="V218" s="117"/>
      <c r="W218" s="117"/>
      <c r="X218" s="117"/>
      <c r="Y218" s="117"/>
      <c r="Z218" s="117"/>
      <c r="AB218" s="117"/>
      <c r="AC218" s="119"/>
      <c r="AD218" s="117"/>
      <c r="AE218" s="117"/>
      <c r="AF218" s="117"/>
      <c r="AG218" s="117"/>
      <c r="AH218" s="117"/>
      <c r="AI218" s="117"/>
      <c r="AJ218" s="117"/>
      <c r="AK218" s="117"/>
      <c r="AL218" s="117"/>
      <c r="AM218" s="117"/>
      <c r="AN218" s="120"/>
    </row>
    <row r="219" spans="1:40" s="121" customFormat="1" x14ac:dyDescent="0.3">
      <c r="A219" s="87"/>
      <c r="B219" s="87"/>
      <c r="C219" s="87"/>
      <c r="D219" s="87"/>
      <c r="E219" s="87"/>
      <c r="F219" s="87"/>
      <c r="G219" s="88"/>
      <c r="H219" s="117"/>
      <c r="N219" s="119"/>
      <c r="O219" s="117"/>
      <c r="P219" s="117"/>
      <c r="Q219" s="117"/>
      <c r="R219" s="117"/>
      <c r="S219" s="117"/>
      <c r="T219" s="147">
        <v>0.89</v>
      </c>
      <c r="U219" s="117"/>
      <c r="V219" s="117"/>
      <c r="W219" s="117"/>
      <c r="X219" s="117"/>
      <c r="Y219" s="117"/>
      <c r="Z219" s="117"/>
      <c r="AB219" s="117"/>
      <c r="AC219" s="119"/>
      <c r="AD219" s="117"/>
      <c r="AE219" s="117"/>
      <c r="AF219" s="117"/>
      <c r="AG219" s="117"/>
      <c r="AH219" s="117"/>
      <c r="AI219" s="117"/>
      <c r="AJ219" s="117"/>
      <c r="AK219" s="117"/>
      <c r="AL219" s="117"/>
      <c r="AM219" s="117"/>
      <c r="AN219" s="120"/>
    </row>
    <row r="220" spans="1:40" s="121" customFormat="1" x14ac:dyDescent="0.3">
      <c r="A220" s="87"/>
      <c r="B220" s="87"/>
      <c r="C220" s="87"/>
      <c r="D220" s="87"/>
      <c r="E220" s="87"/>
      <c r="F220" s="87"/>
      <c r="G220" s="88"/>
      <c r="H220" s="117"/>
      <c r="N220" s="119"/>
      <c r="O220" s="117"/>
      <c r="P220" s="117"/>
      <c r="Q220" s="117"/>
      <c r="R220" s="117"/>
      <c r="S220" s="117"/>
      <c r="T220" s="147">
        <v>0.9</v>
      </c>
      <c r="U220" s="117"/>
      <c r="V220" s="117"/>
      <c r="W220" s="117"/>
      <c r="X220" s="117"/>
      <c r="Y220" s="117"/>
      <c r="Z220" s="117"/>
      <c r="AB220" s="117"/>
      <c r="AC220" s="119"/>
      <c r="AD220" s="117"/>
      <c r="AE220" s="117"/>
      <c r="AF220" s="117"/>
      <c r="AG220" s="117"/>
      <c r="AH220" s="117"/>
      <c r="AI220" s="117"/>
      <c r="AJ220" s="117"/>
      <c r="AK220" s="117"/>
      <c r="AL220" s="117"/>
      <c r="AM220" s="117"/>
      <c r="AN220" s="120"/>
    </row>
    <row r="221" spans="1:40" s="121" customFormat="1" x14ac:dyDescent="0.3">
      <c r="A221" s="87"/>
      <c r="B221" s="87"/>
      <c r="C221" s="87"/>
      <c r="D221" s="87"/>
      <c r="E221" s="87"/>
      <c r="F221" s="87"/>
      <c r="G221" s="88"/>
      <c r="H221" s="117"/>
      <c r="N221" s="119"/>
      <c r="O221" s="117"/>
      <c r="P221" s="117"/>
      <c r="Q221" s="117"/>
      <c r="R221" s="117"/>
      <c r="S221" s="117"/>
      <c r="T221" s="147">
        <v>0.91</v>
      </c>
      <c r="U221" s="117"/>
      <c r="V221" s="117"/>
      <c r="W221" s="117"/>
      <c r="X221" s="117"/>
      <c r="Y221" s="117"/>
      <c r="Z221" s="117"/>
      <c r="AB221" s="117"/>
      <c r="AC221" s="119"/>
      <c r="AD221" s="117"/>
      <c r="AE221" s="117"/>
      <c r="AF221" s="117"/>
      <c r="AG221" s="117"/>
      <c r="AH221" s="117"/>
      <c r="AI221" s="117"/>
      <c r="AJ221" s="117"/>
      <c r="AK221" s="117"/>
      <c r="AL221" s="117"/>
      <c r="AM221" s="117"/>
      <c r="AN221" s="120"/>
    </row>
    <row r="222" spans="1:40" s="121" customFormat="1" x14ac:dyDescent="0.3">
      <c r="A222" s="87"/>
      <c r="B222" s="87"/>
      <c r="C222" s="87"/>
      <c r="D222" s="87"/>
      <c r="E222" s="87"/>
      <c r="F222" s="87"/>
      <c r="G222" s="88"/>
      <c r="H222" s="117"/>
      <c r="N222" s="119"/>
      <c r="O222" s="117"/>
      <c r="P222" s="117"/>
      <c r="Q222" s="117"/>
      <c r="R222" s="117"/>
      <c r="S222" s="117"/>
      <c r="T222" s="147">
        <v>0.92</v>
      </c>
      <c r="U222" s="117"/>
      <c r="V222" s="117"/>
      <c r="W222" s="117"/>
      <c r="X222" s="117"/>
      <c r="Y222" s="117"/>
      <c r="Z222" s="117"/>
      <c r="AB222" s="117"/>
      <c r="AC222" s="119"/>
      <c r="AD222" s="117"/>
      <c r="AE222" s="117"/>
      <c r="AF222" s="117"/>
      <c r="AG222" s="117"/>
      <c r="AH222" s="117"/>
      <c r="AI222" s="117"/>
      <c r="AJ222" s="117"/>
      <c r="AK222" s="117"/>
      <c r="AL222" s="117"/>
      <c r="AM222" s="117"/>
      <c r="AN222" s="120"/>
    </row>
    <row r="223" spans="1:40" s="121" customFormat="1" x14ac:dyDescent="0.3">
      <c r="A223" s="87"/>
      <c r="B223" s="87"/>
      <c r="C223" s="87"/>
      <c r="D223" s="87"/>
      <c r="E223" s="87"/>
      <c r="F223" s="87"/>
      <c r="G223" s="88"/>
      <c r="H223" s="117"/>
      <c r="N223" s="119"/>
      <c r="O223" s="117"/>
      <c r="P223" s="117"/>
      <c r="Q223" s="117"/>
      <c r="R223" s="117"/>
      <c r="S223" s="117"/>
      <c r="T223" s="147">
        <v>0.93</v>
      </c>
      <c r="U223" s="117"/>
      <c r="V223" s="117"/>
      <c r="W223" s="117"/>
      <c r="X223" s="117"/>
      <c r="Y223" s="117"/>
      <c r="Z223" s="117"/>
      <c r="AB223" s="117"/>
      <c r="AC223" s="119"/>
      <c r="AD223" s="117"/>
      <c r="AE223" s="117"/>
      <c r="AF223" s="117"/>
      <c r="AG223" s="117"/>
      <c r="AH223" s="117"/>
      <c r="AI223" s="117"/>
      <c r="AJ223" s="117"/>
      <c r="AK223" s="117"/>
      <c r="AL223" s="117"/>
      <c r="AM223" s="117"/>
      <c r="AN223" s="120"/>
    </row>
    <row r="224" spans="1:40" s="121" customFormat="1" x14ac:dyDescent="0.3">
      <c r="A224" s="87"/>
      <c r="B224" s="87"/>
      <c r="C224" s="87"/>
      <c r="D224" s="87"/>
      <c r="E224" s="87"/>
      <c r="F224" s="87"/>
      <c r="G224" s="88"/>
      <c r="H224" s="117"/>
      <c r="N224" s="119"/>
      <c r="O224" s="117"/>
      <c r="P224" s="117"/>
      <c r="Q224" s="117"/>
      <c r="R224" s="117"/>
      <c r="S224" s="117"/>
      <c r="T224" s="147">
        <v>0.94</v>
      </c>
      <c r="U224" s="117"/>
      <c r="V224" s="117"/>
      <c r="W224" s="117"/>
      <c r="X224" s="117"/>
      <c r="Y224" s="117"/>
      <c r="Z224" s="117"/>
      <c r="AB224" s="117"/>
      <c r="AC224" s="119"/>
      <c r="AD224" s="117"/>
      <c r="AE224" s="117"/>
      <c r="AF224" s="117"/>
      <c r="AG224" s="117"/>
      <c r="AH224" s="117"/>
      <c r="AI224" s="117"/>
      <c r="AJ224" s="117"/>
      <c r="AK224" s="117"/>
      <c r="AL224" s="117"/>
      <c r="AM224" s="117"/>
      <c r="AN224" s="120"/>
    </row>
    <row r="225" spans="1:40" s="121" customFormat="1" x14ac:dyDescent="0.3">
      <c r="A225" s="87"/>
      <c r="B225" s="87"/>
      <c r="C225" s="87"/>
      <c r="D225" s="87"/>
      <c r="E225" s="87"/>
      <c r="F225" s="87"/>
      <c r="G225" s="88"/>
      <c r="H225" s="117"/>
      <c r="N225" s="119"/>
      <c r="O225" s="117"/>
      <c r="P225" s="117"/>
      <c r="Q225" s="117"/>
      <c r="R225" s="117"/>
      <c r="S225" s="117"/>
      <c r="T225" s="147">
        <v>0.95</v>
      </c>
      <c r="U225" s="117"/>
      <c r="V225" s="117"/>
      <c r="W225" s="117"/>
      <c r="X225" s="117"/>
      <c r="Y225" s="117"/>
      <c r="Z225" s="117"/>
      <c r="AB225" s="117"/>
      <c r="AC225" s="119"/>
      <c r="AD225" s="117"/>
      <c r="AE225" s="117"/>
      <c r="AF225" s="117"/>
      <c r="AG225" s="117"/>
      <c r="AH225" s="117"/>
      <c r="AI225" s="117"/>
      <c r="AJ225" s="117"/>
      <c r="AK225" s="117"/>
      <c r="AL225" s="117"/>
      <c r="AM225" s="117"/>
      <c r="AN225" s="120"/>
    </row>
    <row r="226" spans="1:40" s="121" customFormat="1" x14ac:dyDescent="0.3">
      <c r="A226" s="87"/>
      <c r="B226" s="87"/>
      <c r="C226" s="87"/>
      <c r="D226" s="87"/>
      <c r="E226" s="87"/>
      <c r="F226" s="87"/>
      <c r="G226" s="88"/>
      <c r="H226" s="117"/>
      <c r="N226" s="119"/>
      <c r="O226" s="117"/>
      <c r="P226" s="117"/>
      <c r="Q226" s="117"/>
      <c r="R226" s="117"/>
      <c r="S226" s="117"/>
      <c r="T226" s="147">
        <v>0.96</v>
      </c>
      <c r="U226" s="117"/>
      <c r="V226" s="117"/>
      <c r="W226" s="117"/>
      <c r="X226" s="117"/>
      <c r="Y226" s="117"/>
      <c r="Z226" s="117"/>
      <c r="AB226" s="117"/>
      <c r="AC226" s="119"/>
      <c r="AD226" s="117"/>
      <c r="AE226" s="117"/>
      <c r="AF226" s="117"/>
      <c r="AG226" s="117"/>
      <c r="AH226" s="117"/>
      <c r="AI226" s="117"/>
      <c r="AJ226" s="117"/>
      <c r="AK226" s="117"/>
      <c r="AL226" s="117"/>
      <c r="AM226" s="117"/>
      <c r="AN226" s="120"/>
    </row>
    <row r="227" spans="1:40" s="121" customFormat="1" x14ac:dyDescent="0.3">
      <c r="A227" s="87"/>
      <c r="B227" s="87"/>
      <c r="C227" s="87"/>
      <c r="D227" s="87"/>
      <c r="E227" s="87"/>
      <c r="F227" s="87"/>
      <c r="G227" s="88"/>
      <c r="H227" s="117"/>
      <c r="N227" s="119"/>
      <c r="O227" s="117"/>
      <c r="P227" s="117"/>
      <c r="Q227" s="117"/>
      <c r="R227" s="117"/>
      <c r="S227" s="117"/>
      <c r="T227" s="147">
        <v>0.97</v>
      </c>
      <c r="U227" s="117"/>
      <c r="V227" s="117"/>
      <c r="W227" s="117"/>
      <c r="X227" s="117"/>
      <c r="Y227" s="117"/>
      <c r="Z227" s="117"/>
      <c r="AB227" s="117"/>
      <c r="AC227" s="119"/>
      <c r="AD227" s="117"/>
      <c r="AE227" s="117"/>
      <c r="AF227" s="117"/>
      <c r="AG227" s="117"/>
      <c r="AH227" s="117"/>
      <c r="AI227" s="117"/>
      <c r="AJ227" s="117"/>
      <c r="AK227" s="117"/>
      <c r="AL227" s="117"/>
      <c r="AM227" s="117"/>
      <c r="AN227" s="120"/>
    </row>
    <row r="228" spans="1:40" s="121" customFormat="1" x14ac:dyDescent="0.3">
      <c r="A228" s="87"/>
      <c r="B228" s="87"/>
      <c r="C228" s="87"/>
      <c r="D228" s="87"/>
      <c r="E228" s="87"/>
      <c r="F228" s="87"/>
      <c r="G228" s="88"/>
      <c r="H228" s="117"/>
      <c r="N228" s="119"/>
      <c r="O228" s="117"/>
      <c r="P228" s="117"/>
      <c r="Q228" s="117"/>
      <c r="R228" s="117"/>
      <c r="S228" s="117"/>
      <c r="T228" s="147">
        <v>0.98</v>
      </c>
      <c r="U228" s="117"/>
      <c r="V228" s="117"/>
      <c r="W228" s="117"/>
      <c r="X228" s="117"/>
      <c r="Y228" s="117"/>
      <c r="Z228" s="117"/>
      <c r="AB228" s="117"/>
      <c r="AC228" s="119"/>
      <c r="AD228" s="117"/>
      <c r="AE228" s="117"/>
      <c r="AF228" s="117"/>
      <c r="AG228" s="117"/>
      <c r="AH228" s="117"/>
      <c r="AI228" s="117"/>
      <c r="AJ228" s="117"/>
      <c r="AK228" s="117"/>
      <c r="AL228" s="117"/>
      <c r="AM228" s="117"/>
      <c r="AN228" s="120"/>
    </row>
    <row r="229" spans="1:40" s="121" customFormat="1" x14ac:dyDescent="0.3">
      <c r="A229" s="87"/>
      <c r="B229" s="87"/>
      <c r="C229" s="87"/>
      <c r="D229" s="87"/>
      <c r="E229" s="87"/>
      <c r="F229" s="87"/>
      <c r="G229" s="88"/>
      <c r="H229" s="117"/>
      <c r="N229" s="119"/>
      <c r="O229" s="117"/>
      <c r="P229" s="117"/>
      <c r="Q229" s="117"/>
      <c r="R229" s="117"/>
      <c r="S229" s="117"/>
      <c r="T229" s="147">
        <v>0.99</v>
      </c>
      <c r="U229" s="117"/>
      <c r="V229" s="117"/>
      <c r="W229" s="117"/>
      <c r="X229" s="117"/>
      <c r="Y229" s="117"/>
      <c r="Z229" s="117"/>
      <c r="AB229" s="117"/>
      <c r="AC229" s="119"/>
      <c r="AD229" s="117"/>
      <c r="AE229" s="117"/>
      <c r="AF229" s="117"/>
      <c r="AG229" s="117"/>
      <c r="AH229" s="117"/>
      <c r="AI229" s="117"/>
      <c r="AJ229" s="117"/>
      <c r="AK229" s="117"/>
      <c r="AL229" s="117"/>
      <c r="AM229" s="117"/>
      <c r="AN229" s="120"/>
    </row>
    <row r="230" spans="1:40" s="121" customFormat="1" x14ac:dyDescent="0.3">
      <c r="A230" s="87"/>
      <c r="B230" s="87"/>
      <c r="C230" s="87"/>
      <c r="D230" s="87"/>
      <c r="E230" s="87"/>
      <c r="F230" s="87"/>
      <c r="G230" s="88"/>
      <c r="H230" s="117"/>
      <c r="N230" s="119"/>
      <c r="O230" s="117"/>
      <c r="P230" s="117"/>
      <c r="Q230" s="117"/>
      <c r="R230" s="117"/>
      <c r="S230" s="117"/>
      <c r="T230" s="147">
        <v>1</v>
      </c>
      <c r="U230" s="117"/>
      <c r="V230" s="117"/>
      <c r="W230" s="117"/>
      <c r="X230" s="117"/>
      <c r="Y230" s="117"/>
      <c r="Z230" s="117"/>
      <c r="AB230" s="117"/>
      <c r="AC230" s="119"/>
      <c r="AD230" s="117"/>
      <c r="AE230" s="117"/>
      <c r="AF230" s="117"/>
      <c r="AG230" s="117"/>
      <c r="AH230" s="117"/>
      <c r="AI230" s="117"/>
      <c r="AJ230" s="117"/>
      <c r="AK230" s="117"/>
      <c r="AL230" s="117"/>
      <c r="AM230" s="117"/>
      <c r="AN230" s="120"/>
    </row>
    <row r="231" spans="1:40" s="121" customFormat="1" x14ac:dyDescent="0.3">
      <c r="A231" s="87"/>
      <c r="B231" s="87"/>
      <c r="C231" s="87"/>
      <c r="D231" s="87"/>
      <c r="E231" s="87"/>
      <c r="F231" s="87"/>
      <c r="G231" s="88"/>
      <c r="H231" s="117"/>
      <c r="N231" s="119"/>
      <c r="O231" s="117"/>
      <c r="P231" s="117"/>
      <c r="Q231" s="117"/>
      <c r="R231" s="117"/>
      <c r="S231" s="117"/>
      <c r="T231" s="117"/>
      <c r="U231" s="117"/>
      <c r="V231" s="117"/>
      <c r="W231" s="117"/>
      <c r="X231" s="117"/>
      <c r="Y231" s="117"/>
      <c r="Z231" s="117"/>
      <c r="AB231" s="117"/>
      <c r="AC231" s="119"/>
      <c r="AD231" s="117"/>
      <c r="AE231" s="117"/>
      <c r="AF231" s="117"/>
      <c r="AG231" s="117"/>
      <c r="AH231" s="117"/>
      <c r="AI231" s="117"/>
      <c r="AJ231" s="117"/>
      <c r="AK231" s="117"/>
      <c r="AL231" s="117"/>
      <c r="AM231" s="117"/>
      <c r="AN231" s="120"/>
    </row>
    <row r="232" spans="1:40" s="121" customFormat="1" x14ac:dyDescent="0.3">
      <c r="A232" s="87"/>
      <c r="B232" s="87"/>
      <c r="C232" s="87"/>
      <c r="D232" s="87"/>
      <c r="E232" s="87"/>
      <c r="F232" s="87"/>
      <c r="G232" s="88"/>
      <c r="H232" s="117"/>
      <c r="N232" s="119"/>
      <c r="O232" s="117"/>
      <c r="P232" s="117"/>
      <c r="Q232" s="117"/>
      <c r="R232" s="117"/>
      <c r="S232" s="117"/>
      <c r="T232" s="117"/>
      <c r="U232" s="117"/>
      <c r="V232" s="117"/>
      <c r="W232" s="117"/>
      <c r="X232" s="117"/>
      <c r="Y232" s="117"/>
      <c r="Z232" s="117"/>
      <c r="AB232" s="117"/>
      <c r="AC232" s="119"/>
      <c r="AD232" s="117"/>
      <c r="AE232" s="117"/>
      <c r="AF232" s="117"/>
      <c r="AG232" s="117"/>
      <c r="AH232" s="117"/>
      <c r="AI232" s="117"/>
      <c r="AJ232" s="117"/>
      <c r="AK232" s="117"/>
      <c r="AL232" s="117"/>
      <c r="AM232" s="117"/>
      <c r="AN232" s="120"/>
    </row>
    <row r="233" spans="1:40" s="121" customFormat="1" x14ac:dyDescent="0.3">
      <c r="A233" s="87"/>
      <c r="B233" s="87"/>
      <c r="C233" s="87"/>
      <c r="D233" s="87"/>
      <c r="E233" s="87"/>
      <c r="F233" s="87"/>
      <c r="G233" s="88"/>
      <c r="H233" s="117"/>
      <c r="N233" s="119"/>
      <c r="O233" s="117"/>
      <c r="P233" s="117"/>
      <c r="Q233" s="117"/>
      <c r="R233" s="117"/>
      <c r="S233" s="117"/>
      <c r="T233" s="117"/>
      <c r="U233" s="117"/>
      <c r="V233" s="117"/>
      <c r="W233" s="117"/>
      <c r="X233" s="117"/>
      <c r="Y233" s="117"/>
      <c r="Z233" s="117"/>
      <c r="AB233" s="117"/>
      <c r="AC233" s="119"/>
      <c r="AD233" s="117"/>
      <c r="AE233" s="117"/>
      <c r="AF233" s="117"/>
      <c r="AG233" s="117"/>
      <c r="AH233" s="117"/>
      <c r="AI233" s="117"/>
      <c r="AJ233" s="117"/>
      <c r="AK233" s="117"/>
      <c r="AL233" s="117"/>
      <c r="AM233" s="117"/>
      <c r="AN233" s="120"/>
    </row>
    <row r="234" spans="1:40" s="121" customFormat="1" x14ac:dyDescent="0.3">
      <c r="A234" s="87"/>
      <c r="B234" s="87"/>
      <c r="C234" s="87"/>
      <c r="D234" s="87"/>
      <c r="E234" s="87"/>
      <c r="F234" s="87"/>
      <c r="G234" s="88"/>
      <c r="H234" s="117"/>
      <c r="N234" s="119"/>
      <c r="O234" s="117"/>
      <c r="P234" s="117"/>
      <c r="Q234" s="117"/>
      <c r="R234" s="117"/>
      <c r="S234" s="117"/>
      <c r="T234" s="117"/>
      <c r="U234" s="117"/>
      <c r="V234" s="117"/>
      <c r="W234" s="117"/>
      <c r="X234" s="117"/>
      <c r="Y234" s="117"/>
      <c r="Z234" s="117"/>
      <c r="AB234" s="117"/>
      <c r="AC234" s="119"/>
      <c r="AD234" s="117"/>
      <c r="AE234" s="117"/>
      <c r="AF234" s="117"/>
      <c r="AG234" s="117"/>
      <c r="AH234" s="117"/>
      <c r="AI234" s="117"/>
      <c r="AJ234" s="117"/>
      <c r="AK234" s="117"/>
      <c r="AL234" s="117"/>
      <c r="AM234" s="117"/>
      <c r="AN234" s="120"/>
    </row>
    <row r="235" spans="1:40" s="121" customFormat="1" x14ac:dyDescent="0.3">
      <c r="A235" s="87"/>
      <c r="B235" s="87"/>
      <c r="C235" s="87"/>
      <c r="D235" s="87"/>
      <c r="E235" s="87"/>
      <c r="F235" s="87"/>
      <c r="G235" s="88"/>
      <c r="H235" s="117"/>
      <c r="N235" s="119"/>
      <c r="O235" s="117"/>
      <c r="P235" s="117"/>
      <c r="Q235" s="117"/>
      <c r="R235" s="117"/>
      <c r="S235" s="117"/>
      <c r="T235" s="117"/>
      <c r="U235" s="117"/>
      <c r="V235" s="117"/>
      <c r="W235" s="117"/>
      <c r="X235" s="117"/>
      <c r="Y235" s="117"/>
      <c r="Z235" s="117"/>
      <c r="AB235" s="117"/>
      <c r="AC235" s="119"/>
      <c r="AD235" s="117"/>
      <c r="AE235" s="117"/>
      <c r="AF235" s="117"/>
      <c r="AG235" s="117"/>
      <c r="AH235" s="117"/>
      <c r="AI235" s="117"/>
      <c r="AJ235" s="117"/>
      <c r="AK235" s="117"/>
      <c r="AL235" s="117"/>
      <c r="AM235" s="117"/>
      <c r="AN235" s="120"/>
    </row>
    <row r="236" spans="1:40" s="121" customFormat="1" x14ac:dyDescent="0.3">
      <c r="A236" s="87"/>
      <c r="B236" s="87"/>
      <c r="C236" s="87"/>
      <c r="D236" s="87"/>
      <c r="E236" s="87"/>
      <c r="F236" s="87"/>
      <c r="G236" s="88"/>
      <c r="H236" s="117"/>
      <c r="N236" s="119"/>
      <c r="O236" s="117"/>
      <c r="P236" s="117"/>
      <c r="Q236" s="117"/>
      <c r="R236" s="117"/>
      <c r="S236" s="117"/>
      <c r="T236" s="117"/>
      <c r="U236" s="117"/>
      <c r="V236" s="117"/>
      <c r="W236" s="117"/>
      <c r="X236" s="117"/>
      <c r="Y236" s="117"/>
      <c r="Z236" s="117"/>
      <c r="AB236" s="117"/>
      <c r="AC236" s="119"/>
      <c r="AD236" s="117"/>
      <c r="AE236" s="117"/>
      <c r="AF236" s="117"/>
      <c r="AG236" s="117"/>
      <c r="AH236" s="117"/>
      <c r="AI236" s="117"/>
      <c r="AJ236" s="117"/>
      <c r="AK236" s="117"/>
      <c r="AL236" s="117"/>
      <c r="AM236" s="117"/>
      <c r="AN236" s="120"/>
    </row>
    <row r="237" spans="1:40" s="121" customFormat="1" x14ac:dyDescent="0.3">
      <c r="A237" s="87"/>
      <c r="B237" s="87"/>
      <c r="C237" s="87"/>
      <c r="D237" s="87"/>
      <c r="E237" s="87"/>
      <c r="F237" s="87"/>
      <c r="G237" s="88"/>
      <c r="H237" s="117"/>
      <c r="N237" s="119"/>
      <c r="O237" s="117"/>
      <c r="P237" s="117"/>
      <c r="Q237" s="117"/>
      <c r="R237" s="117"/>
      <c r="S237" s="117"/>
      <c r="T237" s="117"/>
      <c r="U237" s="117"/>
      <c r="V237" s="117"/>
      <c r="W237" s="117"/>
      <c r="X237" s="117"/>
      <c r="Y237" s="117"/>
      <c r="Z237" s="117"/>
      <c r="AB237" s="117"/>
      <c r="AC237" s="119"/>
      <c r="AD237" s="117"/>
      <c r="AE237" s="117"/>
      <c r="AF237" s="117"/>
      <c r="AG237" s="117"/>
      <c r="AH237" s="117"/>
      <c r="AI237" s="117"/>
      <c r="AJ237" s="117"/>
      <c r="AK237" s="117"/>
      <c r="AL237" s="117"/>
      <c r="AM237" s="117"/>
      <c r="AN237" s="120"/>
    </row>
    <row r="238" spans="1:40" s="121" customFormat="1" x14ac:dyDescent="0.3">
      <c r="A238" s="87"/>
      <c r="B238" s="87"/>
      <c r="C238" s="87"/>
      <c r="D238" s="87"/>
      <c r="E238" s="87"/>
      <c r="F238" s="87"/>
      <c r="G238" s="88"/>
      <c r="H238" s="117"/>
      <c r="N238" s="119"/>
      <c r="O238" s="117"/>
      <c r="P238" s="117"/>
      <c r="Q238" s="117"/>
      <c r="R238" s="117"/>
      <c r="S238" s="117"/>
      <c r="T238" s="117"/>
      <c r="U238" s="117"/>
      <c r="V238" s="117"/>
      <c r="W238" s="117"/>
      <c r="X238" s="117"/>
      <c r="Y238" s="117"/>
      <c r="Z238" s="117"/>
      <c r="AB238" s="117"/>
      <c r="AC238" s="119"/>
      <c r="AD238" s="117"/>
      <c r="AE238" s="117"/>
      <c r="AF238" s="117"/>
      <c r="AG238" s="117"/>
      <c r="AH238" s="117"/>
      <c r="AI238" s="117"/>
      <c r="AJ238" s="117"/>
      <c r="AK238" s="117"/>
      <c r="AL238" s="117"/>
      <c r="AM238" s="117"/>
      <c r="AN238" s="120"/>
    </row>
    <row r="239" spans="1:40" s="121" customFormat="1" x14ac:dyDescent="0.3">
      <c r="A239" s="87"/>
      <c r="B239" s="87"/>
      <c r="C239" s="87"/>
      <c r="D239" s="87"/>
      <c r="E239" s="87"/>
      <c r="F239" s="87"/>
      <c r="G239" s="88"/>
      <c r="H239" s="117"/>
      <c r="N239" s="119"/>
      <c r="O239" s="117"/>
      <c r="P239" s="117"/>
      <c r="Q239" s="117"/>
      <c r="R239" s="117"/>
      <c r="S239" s="117"/>
      <c r="T239" s="117"/>
      <c r="U239" s="117"/>
      <c r="V239" s="117"/>
      <c r="W239" s="117"/>
      <c r="X239" s="117"/>
      <c r="Y239" s="117"/>
      <c r="Z239" s="117"/>
      <c r="AB239" s="117"/>
      <c r="AC239" s="119"/>
      <c r="AD239" s="117"/>
      <c r="AE239" s="117"/>
      <c r="AF239" s="117"/>
      <c r="AG239" s="117"/>
      <c r="AH239" s="117"/>
      <c r="AI239" s="117"/>
      <c r="AJ239" s="117"/>
      <c r="AK239" s="117"/>
      <c r="AL239" s="117"/>
      <c r="AM239" s="117"/>
      <c r="AN239" s="120"/>
    </row>
    <row r="240" spans="1:40" s="121" customFormat="1" x14ac:dyDescent="0.3">
      <c r="A240" s="87"/>
      <c r="B240" s="87"/>
      <c r="C240" s="87"/>
      <c r="D240" s="87"/>
      <c r="E240" s="87"/>
      <c r="F240" s="87"/>
      <c r="G240" s="88"/>
      <c r="H240" s="117"/>
      <c r="N240" s="119"/>
      <c r="O240" s="117"/>
      <c r="P240" s="117"/>
      <c r="Q240" s="117"/>
      <c r="R240" s="117"/>
      <c r="S240" s="117"/>
      <c r="T240" s="117"/>
      <c r="U240" s="117"/>
      <c r="V240" s="117"/>
      <c r="W240" s="117"/>
      <c r="X240" s="117"/>
      <c r="Y240" s="117"/>
      <c r="Z240" s="117"/>
      <c r="AB240" s="117"/>
      <c r="AC240" s="119"/>
      <c r="AD240" s="117"/>
      <c r="AE240" s="117"/>
      <c r="AF240" s="117"/>
      <c r="AG240" s="117"/>
      <c r="AH240" s="117"/>
      <c r="AI240" s="117"/>
      <c r="AJ240" s="117"/>
      <c r="AK240" s="117"/>
      <c r="AL240" s="117"/>
      <c r="AM240" s="117"/>
      <c r="AN240" s="120"/>
    </row>
    <row r="241" spans="1:40" s="121" customFormat="1" x14ac:dyDescent="0.3">
      <c r="A241" s="87"/>
      <c r="B241" s="87"/>
      <c r="C241" s="87"/>
      <c r="D241" s="87"/>
      <c r="E241" s="87"/>
      <c r="F241" s="87"/>
      <c r="G241" s="88"/>
      <c r="H241" s="117"/>
      <c r="N241" s="119"/>
      <c r="O241" s="117"/>
      <c r="P241" s="117"/>
      <c r="Q241" s="117"/>
      <c r="R241" s="117"/>
      <c r="S241" s="117"/>
      <c r="T241" s="117"/>
      <c r="U241" s="117"/>
      <c r="V241" s="117"/>
      <c r="W241" s="117"/>
      <c r="X241" s="117"/>
      <c r="Z241" s="117"/>
      <c r="AB241" s="117"/>
      <c r="AC241" s="119"/>
      <c r="AD241" s="117"/>
      <c r="AE241" s="117"/>
      <c r="AF241" s="117"/>
      <c r="AG241" s="117"/>
      <c r="AH241" s="117"/>
      <c r="AI241" s="117"/>
      <c r="AJ241" s="117"/>
      <c r="AK241" s="117"/>
      <c r="AL241" s="117"/>
      <c r="AM241" s="117"/>
      <c r="AN241" s="120"/>
    </row>
    <row r="242" spans="1:40" s="121" customFormat="1" x14ac:dyDescent="0.3">
      <c r="A242" s="87"/>
      <c r="B242" s="87"/>
      <c r="C242" s="87"/>
      <c r="D242" s="87"/>
      <c r="E242" s="87"/>
      <c r="F242" s="87"/>
      <c r="G242" s="88"/>
      <c r="H242" s="117"/>
      <c r="N242" s="119"/>
      <c r="O242" s="117"/>
      <c r="P242" s="117"/>
      <c r="Q242" s="117"/>
      <c r="R242" s="117"/>
      <c r="S242" s="117"/>
      <c r="T242" s="117"/>
      <c r="U242" s="117"/>
      <c r="V242" s="117"/>
      <c r="W242" s="117"/>
      <c r="X242" s="117"/>
      <c r="Z242" s="117"/>
      <c r="AB242" s="117"/>
      <c r="AC242" s="119"/>
      <c r="AD242" s="117"/>
      <c r="AE242" s="117"/>
      <c r="AF242" s="117"/>
      <c r="AG242" s="117"/>
      <c r="AH242" s="117"/>
      <c r="AI242" s="117"/>
      <c r="AJ242" s="117"/>
      <c r="AK242" s="117"/>
      <c r="AL242" s="117"/>
      <c r="AM242" s="117"/>
      <c r="AN242" s="120"/>
    </row>
    <row r="243" spans="1:40" s="121" customFormat="1" x14ac:dyDescent="0.3">
      <c r="A243" s="87"/>
      <c r="B243" s="87"/>
      <c r="C243" s="87"/>
      <c r="D243" s="87"/>
      <c r="E243" s="87"/>
      <c r="F243" s="87"/>
      <c r="G243" s="88"/>
      <c r="H243" s="117"/>
      <c r="N243" s="119"/>
      <c r="O243" s="117"/>
      <c r="P243" s="117"/>
      <c r="Q243" s="117"/>
      <c r="R243" s="117"/>
      <c r="S243" s="117"/>
      <c r="T243" s="117"/>
      <c r="U243" s="117"/>
      <c r="V243" s="117"/>
      <c r="W243" s="117"/>
      <c r="X243" s="117"/>
      <c r="Z243" s="117"/>
      <c r="AB243" s="117"/>
      <c r="AC243" s="119"/>
      <c r="AD243" s="117"/>
      <c r="AE243" s="117"/>
      <c r="AF243" s="117"/>
      <c r="AG243" s="117"/>
      <c r="AH243" s="117"/>
      <c r="AI243" s="117"/>
      <c r="AJ243" s="117"/>
      <c r="AK243" s="117"/>
      <c r="AL243" s="117"/>
      <c r="AM243" s="117"/>
      <c r="AN243" s="120"/>
    </row>
    <row r="244" spans="1:40" s="121" customFormat="1" x14ac:dyDescent="0.3">
      <c r="A244" s="87"/>
      <c r="B244" s="87"/>
      <c r="C244" s="87"/>
      <c r="D244" s="87"/>
      <c r="E244" s="87"/>
      <c r="F244" s="87"/>
      <c r="G244" s="88"/>
      <c r="H244" s="117"/>
      <c r="N244" s="119"/>
      <c r="O244" s="117"/>
      <c r="P244" s="117"/>
      <c r="Q244" s="117"/>
      <c r="R244" s="117"/>
      <c r="S244" s="117"/>
      <c r="T244" s="117"/>
      <c r="U244" s="117"/>
      <c r="V244" s="117"/>
      <c r="W244" s="117"/>
      <c r="X244" s="117"/>
      <c r="Z244" s="117"/>
      <c r="AB244" s="117"/>
      <c r="AC244" s="119"/>
      <c r="AD244" s="117"/>
      <c r="AE244" s="117"/>
      <c r="AF244" s="117"/>
      <c r="AG244" s="117"/>
      <c r="AH244" s="117"/>
      <c r="AI244" s="117"/>
      <c r="AJ244" s="117"/>
      <c r="AK244" s="117"/>
      <c r="AL244" s="117"/>
      <c r="AM244" s="117"/>
      <c r="AN244" s="120"/>
    </row>
    <row r="245" spans="1:40" s="121" customFormat="1" x14ac:dyDescent="0.3">
      <c r="A245" s="87"/>
      <c r="B245" s="87"/>
      <c r="C245" s="87"/>
      <c r="D245" s="87"/>
      <c r="E245" s="87"/>
      <c r="F245" s="87"/>
      <c r="G245" s="88"/>
      <c r="H245" s="117"/>
      <c r="N245" s="119"/>
      <c r="O245" s="117"/>
      <c r="P245" s="117"/>
      <c r="Q245" s="117"/>
      <c r="R245" s="117"/>
      <c r="S245" s="117"/>
      <c r="T245" s="117"/>
      <c r="U245" s="117"/>
      <c r="V245" s="117"/>
      <c r="W245" s="117"/>
      <c r="X245" s="117"/>
      <c r="Z245" s="117"/>
      <c r="AB245" s="117"/>
      <c r="AC245" s="119"/>
      <c r="AD245" s="117"/>
      <c r="AE245" s="117"/>
      <c r="AF245" s="117"/>
      <c r="AG245" s="117"/>
      <c r="AH245" s="117"/>
      <c r="AI245" s="117"/>
      <c r="AJ245" s="117"/>
      <c r="AK245" s="117"/>
      <c r="AL245" s="117"/>
      <c r="AM245" s="117"/>
      <c r="AN245" s="120"/>
    </row>
    <row r="246" spans="1:40" s="121" customFormat="1" x14ac:dyDescent="0.3">
      <c r="A246" s="87"/>
      <c r="B246" s="87"/>
      <c r="C246" s="87"/>
      <c r="D246" s="87"/>
      <c r="E246" s="87"/>
      <c r="F246" s="87"/>
      <c r="G246" s="88"/>
      <c r="H246" s="117"/>
      <c r="N246" s="119"/>
      <c r="O246" s="117"/>
      <c r="P246" s="117"/>
      <c r="Q246" s="117"/>
      <c r="R246" s="117"/>
      <c r="S246" s="117"/>
      <c r="T246" s="117"/>
      <c r="U246" s="117"/>
      <c r="V246" s="117"/>
      <c r="W246" s="117"/>
      <c r="X246" s="117"/>
      <c r="Z246" s="117"/>
      <c r="AB246" s="117"/>
      <c r="AC246" s="119"/>
      <c r="AD246" s="117"/>
      <c r="AE246" s="117"/>
      <c r="AF246" s="117"/>
      <c r="AG246" s="117"/>
      <c r="AH246" s="117"/>
      <c r="AI246" s="117"/>
      <c r="AJ246" s="117"/>
      <c r="AK246" s="117"/>
      <c r="AL246" s="117"/>
      <c r="AM246" s="117"/>
      <c r="AN246" s="120"/>
    </row>
    <row r="247" spans="1:40" s="121" customFormat="1" x14ac:dyDescent="0.3">
      <c r="A247" s="87"/>
      <c r="B247" s="87"/>
      <c r="C247" s="87"/>
      <c r="D247" s="87"/>
      <c r="E247" s="87"/>
      <c r="F247" s="87"/>
      <c r="G247" s="88"/>
      <c r="H247" s="117"/>
      <c r="N247" s="119"/>
      <c r="O247" s="117"/>
      <c r="P247" s="117"/>
      <c r="Q247" s="117"/>
      <c r="R247" s="117"/>
      <c r="S247" s="117"/>
      <c r="T247" s="117"/>
      <c r="U247" s="117"/>
      <c r="V247" s="117"/>
      <c r="W247" s="117"/>
      <c r="X247" s="117"/>
      <c r="Z247" s="117"/>
      <c r="AB247" s="117"/>
      <c r="AC247" s="119"/>
      <c r="AD247" s="117"/>
      <c r="AE247" s="117"/>
      <c r="AF247" s="117"/>
      <c r="AG247" s="117"/>
      <c r="AH247" s="117"/>
      <c r="AI247" s="117"/>
      <c r="AJ247" s="117"/>
      <c r="AK247" s="117"/>
      <c r="AL247" s="117"/>
      <c r="AM247" s="117"/>
      <c r="AN247" s="120"/>
    </row>
    <row r="248" spans="1:40" s="121" customFormat="1" x14ac:dyDescent="0.3">
      <c r="A248" s="87"/>
      <c r="B248" s="87"/>
      <c r="C248" s="87"/>
      <c r="D248" s="87"/>
      <c r="E248" s="87"/>
      <c r="F248" s="87"/>
      <c r="G248" s="88"/>
      <c r="H248" s="117"/>
      <c r="N248" s="119"/>
      <c r="O248" s="117"/>
      <c r="P248" s="117"/>
      <c r="Q248" s="117"/>
      <c r="R248" s="117"/>
      <c r="S248" s="117"/>
      <c r="T248" s="117"/>
      <c r="U248" s="117"/>
      <c r="V248" s="117"/>
      <c r="W248" s="117"/>
      <c r="X248" s="117"/>
      <c r="Z248" s="117"/>
      <c r="AB248" s="117"/>
      <c r="AC248" s="119"/>
      <c r="AD248" s="117"/>
      <c r="AE248" s="117"/>
      <c r="AF248" s="117"/>
      <c r="AG248" s="117"/>
      <c r="AH248" s="117"/>
      <c r="AI248" s="117"/>
      <c r="AJ248" s="117"/>
      <c r="AK248" s="117"/>
      <c r="AL248" s="117"/>
      <c r="AM248" s="117"/>
      <c r="AN248" s="120"/>
    </row>
    <row r="249" spans="1:40" s="121" customFormat="1" x14ac:dyDescent="0.3">
      <c r="A249" s="87"/>
      <c r="B249" s="87"/>
      <c r="C249" s="87"/>
      <c r="D249" s="87"/>
      <c r="E249" s="87"/>
      <c r="F249" s="87"/>
      <c r="G249" s="88"/>
      <c r="H249" s="117"/>
      <c r="N249" s="119"/>
      <c r="O249" s="117"/>
      <c r="P249" s="117"/>
      <c r="Q249" s="117"/>
      <c r="R249" s="117"/>
      <c r="S249" s="117"/>
      <c r="T249" s="117"/>
      <c r="U249" s="117"/>
      <c r="V249" s="117"/>
      <c r="W249" s="117"/>
      <c r="X249" s="117"/>
      <c r="Z249" s="117"/>
      <c r="AB249" s="117"/>
      <c r="AC249" s="119"/>
      <c r="AD249" s="117"/>
      <c r="AE249" s="117"/>
      <c r="AF249" s="117"/>
      <c r="AG249" s="117"/>
      <c r="AH249" s="117"/>
      <c r="AI249" s="117"/>
      <c r="AJ249" s="117"/>
      <c r="AK249" s="117"/>
      <c r="AL249" s="117"/>
      <c r="AM249" s="117"/>
      <c r="AN249" s="120"/>
    </row>
    <row r="250" spans="1:40" s="121" customFormat="1" x14ac:dyDescent="0.3">
      <c r="A250" s="87"/>
      <c r="B250" s="87"/>
      <c r="C250" s="87"/>
      <c r="D250" s="87"/>
      <c r="E250" s="87"/>
      <c r="F250" s="87"/>
      <c r="G250" s="88"/>
      <c r="H250" s="117"/>
      <c r="N250" s="119"/>
      <c r="O250" s="117"/>
      <c r="P250" s="117"/>
      <c r="Q250" s="117"/>
      <c r="R250" s="117"/>
      <c r="S250" s="117"/>
      <c r="T250" s="117"/>
      <c r="U250" s="117"/>
      <c r="V250" s="117"/>
      <c r="W250" s="117"/>
      <c r="X250" s="117"/>
      <c r="Z250" s="117"/>
      <c r="AB250" s="117"/>
      <c r="AC250" s="119"/>
      <c r="AD250" s="117"/>
      <c r="AE250" s="117"/>
      <c r="AF250" s="117"/>
      <c r="AG250" s="117"/>
      <c r="AH250" s="117"/>
      <c r="AI250" s="117"/>
      <c r="AJ250" s="117"/>
      <c r="AK250" s="117"/>
      <c r="AL250" s="117"/>
      <c r="AM250" s="117"/>
      <c r="AN250" s="120"/>
    </row>
    <row r="251" spans="1:40" s="121" customFormat="1" x14ac:dyDescent="0.3">
      <c r="A251" s="87"/>
      <c r="B251" s="87"/>
      <c r="C251" s="87"/>
      <c r="D251" s="87"/>
      <c r="E251" s="87"/>
      <c r="F251" s="87"/>
      <c r="G251" s="88"/>
      <c r="H251" s="117"/>
      <c r="N251" s="119"/>
      <c r="O251" s="117"/>
      <c r="P251" s="117"/>
      <c r="Q251" s="117"/>
      <c r="R251" s="117"/>
      <c r="S251" s="117"/>
      <c r="T251" s="117"/>
      <c r="U251" s="117"/>
      <c r="V251" s="117"/>
      <c r="W251" s="117"/>
      <c r="X251" s="117"/>
      <c r="Z251" s="117"/>
      <c r="AB251" s="117"/>
      <c r="AC251" s="119"/>
      <c r="AD251" s="117"/>
      <c r="AE251" s="117"/>
      <c r="AF251" s="117"/>
      <c r="AG251" s="117"/>
      <c r="AH251" s="117"/>
      <c r="AI251" s="117"/>
      <c r="AJ251" s="117"/>
      <c r="AK251" s="117"/>
      <c r="AL251" s="117"/>
      <c r="AM251" s="117"/>
      <c r="AN251" s="120"/>
    </row>
    <row r="252" spans="1:40" s="121" customFormat="1" x14ac:dyDescent="0.3">
      <c r="A252" s="87"/>
      <c r="B252" s="87"/>
      <c r="C252" s="87"/>
      <c r="D252" s="87"/>
      <c r="E252" s="87"/>
      <c r="F252" s="87"/>
      <c r="G252" s="88"/>
      <c r="H252" s="117"/>
      <c r="N252" s="119"/>
      <c r="O252" s="117"/>
      <c r="P252" s="117"/>
      <c r="Q252" s="117"/>
      <c r="R252" s="117"/>
      <c r="S252" s="117"/>
      <c r="T252" s="117"/>
      <c r="U252" s="117"/>
      <c r="V252" s="117"/>
      <c r="W252" s="117"/>
      <c r="X252" s="117"/>
      <c r="Z252" s="117"/>
      <c r="AB252" s="117"/>
      <c r="AC252" s="119"/>
      <c r="AD252" s="117"/>
      <c r="AE252" s="117"/>
      <c r="AF252" s="117"/>
      <c r="AG252" s="117"/>
      <c r="AH252" s="117"/>
      <c r="AI252" s="117"/>
      <c r="AJ252" s="117"/>
      <c r="AK252" s="117"/>
      <c r="AL252" s="117"/>
      <c r="AM252" s="117"/>
      <c r="AN252" s="120"/>
    </row>
    <row r="253" spans="1:40" s="121" customFormat="1" x14ac:dyDescent="0.3">
      <c r="A253" s="87"/>
      <c r="B253" s="87"/>
      <c r="C253" s="87"/>
      <c r="D253" s="87"/>
      <c r="E253" s="87"/>
      <c r="F253" s="87"/>
      <c r="G253" s="88"/>
      <c r="H253" s="117"/>
      <c r="N253" s="119"/>
      <c r="O253" s="117"/>
      <c r="P253" s="117"/>
      <c r="Q253" s="117"/>
      <c r="R253" s="117"/>
      <c r="S253" s="117"/>
      <c r="T253" s="117"/>
      <c r="U253" s="117"/>
      <c r="V253" s="117"/>
      <c r="W253" s="117"/>
      <c r="X253" s="117"/>
      <c r="Z253" s="117"/>
      <c r="AB253" s="117"/>
      <c r="AC253" s="119"/>
      <c r="AD253" s="117"/>
      <c r="AE253" s="117"/>
      <c r="AF253" s="117"/>
      <c r="AG253" s="117"/>
      <c r="AH253" s="117"/>
      <c r="AI253" s="117"/>
      <c r="AJ253" s="117"/>
      <c r="AK253" s="117"/>
      <c r="AL253" s="117"/>
      <c r="AM253" s="117"/>
      <c r="AN253" s="120"/>
    </row>
    <row r="254" spans="1:40" s="121" customFormat="1" x14ac:dyDescent="0.3">
      <c r="A254" s="87"/>
      <c r="B254" s="87"/>
      <c r="C254" s="87"/>
      <c r="D254" s="87"/>
      <c r="E254" s="87"/>
      <c r="F254" s="87"/>
      <c r="G254" s="88"/>
      <c r="H254" s="117"/>
      <c r="N254" s="119"/>
      <c r="O254" s="117"/>
      <c r="P254" s="117"/>
      <c r="Q254" s="117"/>
      <c r="R254" s="117"/>
      <c r="S254" s="117"/>
      <c r="T254" s="117"/>
      <c r="U254" s="117"/>
      <c r="V254" s="117"/>
      <c r="W254" s="117"/>
      <c r="X254" s="117"/>
      <c r="Z254" s="117"/>
      <c r="AB254" s="117"/>
      <c r="AC254" s="119"/>
      <c r="AD254" s="117"/>
      <c r="AE254" s="117"/>
      <c r="AF254" s="117"/>
      <c r="AG254" s="117"/>
      <c r="AH254" s="117"/>
      <c r="AI254" s="117"/>
      <c r="AJ254" s="117"/>
      <c r="AK254" s="117"/>
      <c r="AL254" s="117"/>
      <c r="AM254" s="117"/>
      <c r="AN254" s="120"/>
    </row>
    <row r="255" spans="1:40" s="121" customFormat="1" x14ac:dyDescent="0.3">
      <c r="A255" s="87"/>
      <c r="B255" s="87"/>
      <c r="C255" s="87"/>
      <c r="D255" s="87"/>
      <c r="E255" s="87"/>
      <c r="F255" s="87"/>
      <c r="G255" s="88"/>
      <c r="H255" s="117"/>
      <c r="N255" s="119"/>
      <c r="O255" s="117"/>
      <c r="P255" s="117"/>
      <c r="Q255" s="117"/>
      <c r="R255" s="117"/>
      <c r="S255" s="117"/>
      <c r="T255" s="117"/>
      <c r="U255" s="117"/>
      <c r="V255" s="117"/>
      <c r="W255" s="117"/>
      <c r="X255" s="117"/>
      <c r="Z255" s="117"/>
      <c r="AB255" s="117"/>
      <c r="AC255" s="119"/>
      <c r="AD255" s="117"/>
      <c r="AE255" s="117"/>
      <c r="AF255" s="117"/>
      <c r="AG255" s="117"/>
      <c r="AH255" s="117"/>
      <c r="AI255" s="117"/>
      <c r="AJ255" s="117"/>
      <c r="AK255" s="117"/>
      <c r="AL255" s="117"/>
      <c r="AM255" s="117"/>
      <c r="AN255" s="120"/>
    </row>
    <row r="256" spans="1:40" s="121" customFormat="1" x14ac:dyDescent="0.3">
      <c r="A256" s="87"/>
      <c r="B256" s="87"/>
      <c r="C256" s="87"/>
      <c r="D256" s="87"/>
      <c r="E256" s="87"/>
      <c r="F256" s="87"/>
      <c r="G256" s="88"/>
      <c r="H256" s="117"/>
      <c r="N256" s="119"/>
      <c r="O256" s="117"/>
      <c r="P256" s="117"/>
      <c r="Q256" s="117"/>
      <c r="R256" s="117"/>
      <c r="S256" s="117"/>
      <c r="T256" s="117"/>
      <c r="U256" s="117"/>
      <c r="V256" s="117"/>
      <c r="W256" s="117"/>
      <c r="X256" s="117"/>
      <c r="Z256" s="117"/>
      <c r="AB256" s="117"/>
      <c r="AC256" s="119"/>
      <c r="AD256" s="117"/>
      <c r="AE256" s="117"/>
      <c r="AF256" s="117"/>
      <c r="AG256" s="117"/>
      <c r="AH256" s="117"/>
      <c r="AI256" s="117"/>
      <c r="AJ256" s="117"/>
      <c r="AK256" s="117"/>
      <c r="AL256" s="117"/>
      <c r="AM256" s="117"/>
      <c r="AN256" s="120"/>
    </row>
    <row r="257" spans="1:40" s="121" customFormat="1" x14ac:dyDescent="0.3">
      <c r="A257" s="87"/>
      <c r="B257" s="87"/>
      <c r="C257" s="87"/>
      <c r="D257" s="87"/>
      <c r="E257" s="87"/>
      <c r="F257" s="87"/>
      <c r="G257" s="88"/>
      <c r="H257" s="117"/>
      <c r="W257" s="117"/>
      <c r="X257" s="117"/>
      <c r="Z257" s="117"/>
      <c r="AB257" s="117"/>
      <c r="AC257" s="119"/>
      <c r="AD257" s="117"/>
      <c r="AE257" s="117"/>
      <c r="AF257" s="117"/>
      <c r="AG257" s="117"/>
      <c r="AH257" s="117"/>
      <c r="AI257" s="117"/>
      <c r="AJ257" s="117"/>
      <c r="AK257" s="117"/>
      <c r="AL257" s="117"/>
      <c r="AM257" s="117"/>
      <c r="AN257" s="120"/>
    </row>
    <row r="258" spans="1:40" s="121" customFormat="1" x14ac:dyDescent="0.3">
      <c r="A258" s="87"/>
      <c r="B258" s="87"/>
      <c r="C258" s="87"/>
      <c r="D258" s="87"/>
      <c r="E258" s="87"/>
      <c r="F258" s="87"/>
      <c r="G258" s="88"/>
      <c r="H258" s="117"/>
      <c r="W258" s="117"/>
      <c r="X258" s="117"/>
      <c r="Z258" s="117"/>
      <c r="AB258" s="117"/>
      <c r="AC258" s="119"/>
      <c r="AD258" s="117"/>
      <c r="AE258" s="117"/>
      <c r="AF258" s="117"/>
      <c r="AG258" s="117"/>
      <c r="AH258" s="117"/>
      <c r="AI258" s="117"/>
      <c r="AJ258" s="117"/>
      <c r="AK258" s="117"/>
      <c r="AL258" s="117"/>
      <c r="AM258" s="117"/>
      <c r="AN258" s="120"/>
    </row>
    <row r="259" spans="1:40" s="121" customFormat="1" x14ac:dyDescent="0.3">
      <c r="A259" s="87"/>
      <c r="B259" s="87"/>
      <c r="C259" s="87"/>
      <c r="D259" s="87"/>
      <c r="E259" s="87"/>
      <c r="F259" s="87"/>
      <c r="G259" s="88"/>
      <c r="H259" s="117"/>
      <c r="W259" s="117"/>
      <c r="X259" s="117"/>
      <c r="Z259" s="117"/>
      <c r="AB259" s="117"/>
      <c r="AC259" s="119"/>
      <c r="AD259" s="117"/>
      <c r="AE259" s="117"/>
      <c r="AF259" s="117"/>
      <c r="AG259" s="117"/>
      <c r="AH259" s="117"/>
      <c r="AI259" s="117"/>
      <c r="AJ259" s="117"/>
      <c r="AK259" s="117"/>
      <c r="AL259" s="117"/>
      <c r="AM259" s="117"/>
      <c r="AN259" s="120"/>
    </row>
    <row r="260" spans="1:40" s="121" customFormat="1" x14ac:dyDescent="0.3">
      <c r="A260" s="87"/>
      <c r="B260" s="87"/>
      <c r="C260" s="87"/>
      <c r="D260" s="87"/>
      <c r="E260" s="87"/>
      <c r="F260" s="87"/>
      <c r="G260" s="88"/>
      <c r="H260" s="117"/>
      <c r="W260" s="117"/>
      <c r="X260" s="117"/>
      <c r="Z260" s="117"/>
      <c r="AB260" s="117"/>
      <c r="AC260" s="119"/>
      <c r="AD260" s="117"/>
      <c r="AE260" s="117"/>
      <c r="AF260" s="117"/>
      <c r="AG260" s="117"/>
      <c r="AH260" s="117"/>
      <c r="AI260" s="117"/>
      <c r="AJ260" s="117"/>
      <c r="AK260" s="117"/>
      <c r="AL260" s="117"/>
      <c r="AM260" s="117"/>
      <c r="AN260" s="120"/>
    </row>
    <row r="261" spans="1:40" s="121" customFormat="1" x14ac:dyDescent="0.3">
      <c r="A261" s="87"/>
      <c r="B261" s="87"/>
      <c r="C261" s="87"/>
      <c r="D261" s="87"/>
      <c r="E261" s="87"/>
      <c r="F261" s="87"/>
      <c r="G261" s="88"/>
      <c r="H261" s="117"/>
      <c r="W261" s="117"/>
      <c r="X261" s="117"/>
      <c r="Z261" s="117"/>
      <c r="AB261" s="117"/>
      <c r="AC261" s="119"/>
      <c r="AD261" s="117"/>
      <c r="AE261" s="117"/>
      <c r="AF261" s="117"/>
      <c r="AG261" s="117"/>
      <c r="AH261" s="117"/>
      <c r="AI261" s="117"/>
      <c r="AJ261" s="117"/>
      <c r="AK261" s="117"/>
      <c r="AL261" s="117"/>
      <c r="AM261" s="117"/>
      <c r="AN261" s="120"/>
    </row>
    <row r="262" spans="1:40" s="121" customFormat="1" x14ac:dyDescent="0.3">
      <c r="A262" s="87"/>
      <c r="B262" s="87"/>
      <c r="C262" s="87"/>
      <c r="D262" s="87"/>
      <c r="E262" s="87"/>
      <c r="F262" s="87"/>
      <c r="G262" s="88"/>
      <c r="H262" s="117"/>
      <c r="AB262" s="117"/>
      <c r="AC262" s="119"/>
      <c r="AD262" s="117"/>
      <c r="AE262" s="117"/>
      <c r="AF262" s="117"/>
      <c r="AG262" s="117"/>
      <c r="AH262" s="117"/>
      <c r="AI262" s="117"/>
      <c r="AJ262" s="117"/>
      <c r="AK262" s="117"/>
      <c r="AL262" s="117"/>
      <c r="AM262" s="117"/>
      <c r="AN262" s="120"/>
    </row>
    <row r="263" spans="1:40" s="121" customFormat="1" x14ac:dyDescent="0.3">
      <c r="A263" s="87"/>
      <c r="B263" s="87"/>
      <c r="C263" s="87"/>
      <c r="D263" s="87"/>
      <c r="E263" s="87"/>
      <c r="F263" s="87"/>
      <c r="G263" s="88"/>
      <c r="H263" s="117"/>
      <c r="AB263" s="117"/>
      <c r="AC263" s="119"/>
      <c r="AD263" s="117"/>
      <c r="AE263" s="117"/>
      <c r="AF263" s="117"/>
      <c r="AG263" s="117"/>
      <c r="AH263" s="117"/>
      <c r="AI263" s="117"/>
      <c r="AJ263" s="117"/>
      <c r="AK263" s="117"/>
      <c r="AL263" s="117"/>
      <c r="AM263" s="117"/>
      <c r="AN263" s="120"/>
    </row>
    <row r="264" spans="1:40" s="121" customFormat="1" x14ac:dyDescent="0.3">
      <c r="A264" s="87"/>
      <c r="B264" s="87"/>
      <c r="C264" s="87"/>
      <c r="D264" s="87"/>
      <c r="E264" s="87"/>
      <c r="F264" s="87"/>
      <c r="G264" s="88"/>
      <c r="H264" s="117"/>
      <c r="AB264" s="117"/>
      <c r="AC264" s="119"/>
      <c r="AD264" s="117"/>
      <c r="AE264" s="117"/>
      <c r="AF264" s="117"/>
      <c r="AG264" s="117"/>
      <c r="AH264" s="117"/>
      <c r="AI264" s="117"/>
      <c r="AJ264" s="117"/>
      <c r="AK264" s="117"/>
      <c r="AL264" s="117"/>
      <c r="AM264" s="117"/>
      <c r="AN264" s="120"/>
    </row>
    <row r="265" spans="1:40" x14ac:dyDescent="0.3">
      <c r="A265" s="87"/>
      <c r="B265" s="87"/>
      <c r="C265" s="87"/>
      <c r="D265" s="87"/>
      <c r="E265" s="87"/>
      <c r="F265" s="87"/>
      <c r="G265" s="88"/>
    </row>
    <row r="266" spans="1:40" x14ac:dyDescent="0.3">
      <c r="A266" s="87"/>
      <c r="B266" s="87"/>
      <c r="C266" s="87"/>
      <c r="D266" s="87"/>
      <c r="E266" s="87"/>
      <c r="F266" s="87"/>
      <c r="G266" s="88"/>
    </row>
    <row r="267" spans="1:40" x14ac:dyDescent="0.3">
      <c r="A267" s="87"/>
      <c r="B267" s="87"/>
      <c r="C267" s="87"/>
      <c r="D267" s="87"/>
      <c r="E267" s="87"/>
      <c r="F267" s="87"/>
      <c r="G267" s="88"/>
    </row>
    <row r="268" spans="1:40" x14ac:dyDescent="0.3">
      <c r="A268" s="87"/>
      <c r="B268" s="87"/>
      <c r="C268" s="87"/>
      <c r="D268" s="87"/>
      <c r="E268" s="87"/>
      <c r="F268" s="87"/>
      <c r="G268" s="88"/>
    </row>
    <row r="269" spans="1:40" x14ac:dyDescent="0.3">
      <c r="A269" s="87"/>
      <c r="B269" s="87"/>
      <c r="C269" s="87"/>
      <c r="D269" s="87"/>
      <c r="E269" s="87"/>
      <c r="F269" s="87"/>
      <c r="G269" s="88"/>
    </row>
    <row r="270" spans="1:40" x14ac:dyDescent="0.3">
      <c r="A270" s="87"/>
      <c r="B270" s="87"/>
      <c r="C270" s="87"/>
      <c r="D270" s="87"/>
      <c r="E270" s="87"/>
      <c r="F270" s="87"/>
      <c r="G270" s="88"/>
    </row>
    <row r="271" spans="1:40" x14ac:dyDescent="0.3">
      <c r="A271" s="87"/>
      <c r="B271" s="87"/>
      <c r="C271" s="87"/>
      <c r="D271" s="87"/>
      <c r="E271" s="87"/>
      <c r="F271" s="87"/>
      <c r="G271" s="88"/>
    </row>
    <row r="272" spans="1:40" x14ac:dyDescent="0.3">
      <c r="A272" s="87"/>
      <c r="B272" s="87"/>
      <c r="C272" s="87"/>
      <c r="D272" s="87"/>
      <c r="E272" s="87"/>
      <c r="F272" s="87"/>
      <c r="G272" s="88"/>
    </row>
    <row r="273" spans="1:7" x14ac:dyDescent="0.3">
      <c r="A273" s="87"/>
      <c r="B273" s="87"/>
      <c r="C273" s="87"/>
      <c r="D273" s="87"/>
      <c r="E273" s="87"/>
      <c r="F273" s="87"/>
      <c r="G273" s="88"/>
    </row>
    <row r="274" spans="1:7" x14ac:dyDescent="0.3">
      <c r="A274" s="87"/>
      <c r="B274" s="87"/>
      <c r="C274" s="87"/>
      <c r="D274" s="87"/>
      <c r="E274" s="87"/>
      <c r="F274" s="87"/>
      <c r="G274" s="88"/>
    </row>
    <row r="275" spans="1:7" x14ac:dyDescent="0.3">
      <c r="A275" s="87"/>
      <c r="B275" s="87"/>
      <c r="C275" s="87"/>
      <c r="D275" s="87"/>
      <c r="E275" s="87"/>
      <c r="F275" s="87"/>
      <c r="G275" s="88"/>
    </row>
    <row r="276" spans="1:7" x14ac:dyDescent="0.3">
      <c r="A276" s="87"/>
      <c r="B276" s="87"/>
      <c r="C276" s="87"/>
      <c r="D276" s="87"/>
      <c r="E276" s="87"/>
      <c r="F276" s="87"/>
      <c r="G276" s="88"/>
    </row>
    <row r="277" spans="1:7" x14ac:dyDescent="0.3">
      <c r="A277" s="87"/>
      <c r="B277" s="87"/>
      <c r="C277" s="87"/>
      <c r="D277" s="87"/>
      <c r="E277" s="87"/>
      <c r="F277" s="87"/>
      <c r="G277" s="88"/>
    </row>
    <row r="278" spans="1:7" x14ac:dyDescent="0.3">
      <c r="A278" s="87"/>
      <c r="B278" s="87"/>
      <c r="C278" s="87"/>
      <c r="D278" s="87"/>
      <c r="E278" s="87"/>
      <c r="F278" s="87"/>
      <c r="G278" s="88"/>
    </row>
    <row r="279" spans="1:7" x14ac:dyDescent="0.3">
      <c r="A279" s="87"/>
      <c r="B279" s="87"/>
      <c r="C279" s="87"/>
      <c r="D279" s="87"/>
      <c r="E279" s="87"/>
      <c r="F279" s="87"/>
      <c r="G279" s="88"/>
    </row>
    <row r="280" spans="1:7" x14ac:dyDescent="0.3">
      <c r="A280" s="87"/>
      <c r="B280" s="87"/>
      <c r="C280" s="87"/>
      <c r="D280" s="87"/>
      <c r="E280" s="87"/>
      <c r="F280" s="87"/>
      <c r="G280" s="88"/>
    </row>
    <row r="281" spans="1:7" x14ac:dyDescent="0.3">
      <c r="A281" s="87"/>
      <c r="B281" s="87"/>
      <c r="C281" s="87"/>
      <c r="D281" s="87"/>
      <c r="E281" s="87"/>
      <c r="F281" s="87"/>
      <c r="G281" s="88"/>
    </row>
    <row r="282" spans="1:7" x14ac:dyDescent="0.3">
      <c r="A282" s="87"/>
      <c r="B282" s="87"/>
      <c r="C282" s="87"/>
      <c r="D282" s="87"/>
      <c r="E282" s="87"/>
      <c r="F282" s="87"/>
      <c r="G282" s="88"/>
    </row>
    <row r="283" spans="1:7" x14ac:dyDescent="0.3">
      <c r="A283" s="87"/>
      <c r="B283" s="87"/>
      <c r="C283" s="87"/>
      <c r="D283" s="87"/>
      <c r="E283" s="87"/>
      <c r="F283" s="87"/>
      <c r="G283" s="88"/>
    </row>
    <row r="284" spans="1:7" x14ac:dyDescent="0.3">
      <c r="A284" s="87"/>
      <c r="B284" s="87"/>
      <c r="C284" s="87"/>
      <c r="D284" s="87"/>
      <c r="E284" s="87"/>
      <c r="F284" s="87"/>
      <c r="G284" s="88"/>
    </row>
    <row r="285" spans="1:7" x14ac:dyDescent="0.3">
      <c r="A285" s="87"/>
      <c r="B285" s="87"/>
      <c r="C285" s="87"/>
      <c r="D285" s="87"/>
      <c r="E285" s="87"/>
      <c r="F285" s="87"/>
      <c r="G285" s="88"/>
    </row>
  </sheetData>
  <sheetProtection algorithmName="SHA-512" hashValue="0J183JLCaz0euuZ9JK9ZMjBAUqvJfQ3bj3qaumC/S0Lt5/8uRuNOxpRpaYsoHW+j5xKtFkCxAWDim4/rq/7yeg==" saltValue="W2qMgq3e8oIAYMNTOucTiQ==" spinCount="100000" sheet="1" objects="1" scenarios="1"/>
  <mergeCells count="28">
    <mergeCell ref="B40:B41"/>
    <mergeCell ref="H50:M51"/>
    <mergeCell ref="H59:M60"/>
    <mergeCell ref="H78:M79"/>
    <mergeCell ref="C22:E22"/>
    <mergeCell ref="C23:E23"/>
    <mergeCell ref="C25:E25"/>
    <mergeCell ref="B34:B35"/>
    <mergeCell ref="B37:B38"/>
    <mergeCell ref="H62:M64"/>
    <mergeCell ref="H40:M42"/>
    <mergeCell ref="C24:E24"/>
    <mergeCell ref="H37:M39"/>
    <mergeCell ref="H31:M33"/>
    <mergeCell ref="C21:E21"/>
    <mergeCell ref="C19:E19"/>
    <mergeCell ref="H19:O19"/>
    <mergeCell ref="C20:E20"/>
    <mergeCell ref="C6:E6"/>
    <mergeCell ref="C8:E8"/>
    <mergeCell ref="H20:O20"/>
    <mergeCell ref="C17:E17"/>
    <mergeCell ref="C18:E18"/>
    <mergeCell ref="J8:M12"/>
    <mergeCell ref="H15:M16"/>
    <mergeCell ref="C16:E16"/>
    <mergeCell ref="C13:D13"/>
    <mergeCell ref="C10:D10"/>
  </mergeCells>
  <conditionalFormatting sqref="B16:B20">
    <cfRule type="expression" dxfId="219" priority="61" stopIfTrue="1">
      <formula>$B$13=$Q$130</formula>
    </cfRule>
  </conditionalFormatting>
  <conditionalFormatting sqref="B21">
    <cfRule type="expression" dxfId="218" priority="629" stopIfTrue="1">
      <formula>$B$13=$Q$130</formula>
    </cfRule>
  </conditionalFormatting>
  <conditionalFormatting sqref="B22:B25">
    <cfRule type="expression" dxfId="217" priority="57" stopIfTrue="1">
      <formula>$B$13=$Q$130</formula>
    </cfRule>
  </conditionalFormatting>
  <conditionalFormatting sqref="B45:B50 B52:B53 C53:D53">
    <cfRule type="expression" dxfId="216" priority="289" stopIfTrue="1">
      <formula>E45="n/a"</formula>
    </cfRule>
  </conditionalFormatting>
  <conditionalFormatting sqref="B58">
    <cfRule type="expression" dxfId="215" priority="489" stopIfTrue="1">
      <formula>$F$19="No"</formula>
    </cfRule>
  </conditionalFormatting>
  <conditionalFormatting sqref="B91">
    <cfRule type="expression" dxfId="214" priority="412" stopIfTrue="1">
      <formula>OR($G$86=$Q$133,$G$86=$Q$132,$G$86=$Q$130,$G$88=$S$130)</formula>
    </cfRule>
    <cfRule type="expression" dxfId="213" priority="413" stopIfTrue="1">
      <formula>$G$88=$S$132</formula>
    </cfRule>
  </conditionalFormatting>
  <conditionalFormatting sqref="B55:D57">
    <cfRule type="expression" dxfId="212" priority="472" stopIfTrue="1">
      <formula>$F$19="no"</formula>
    </cfRule>
  </conditionalFormatting>
  <conditionalFormatting sqref="B21:F25">
    <cfRule type="expression" dxfId="211" priority="71" stopIfTrue="1">
      <formula>$B$13=$R$135</formula>
    </cfRule>
  </conditionalFormatting>
  <conditionalFormatting sqref="C13 E13:G13">
    <cfRule type="expression" dxfId="210" priority="638" stopIfTrue="1">
      <formula>$B$13=$R$134</formula>
    </cfRule>
  </conditionalFormatting>
  <conditionalFormatting sqref="C45:C50 C52 N52:N53 G53">
    <cfRule type="expression" dxfId="209" priority="288" stopIfTrue="1">
      <formula>E45="n/a"</formula>
    </cfRule>
  </conditionalFormatting>
  <conditionalFormatting sqref="C55:C60">
    <cfRule type="expression" dxfId="208" priority="268" stopIfTrue="1">
      <formula>E55="n/a"</formula>
    </cfRule>
  </conditionalFormatting>
  <conditionalFormatting sqref="C58">
    <cfRule type="expression" dxfId="207" priority="463" stopIfTrue="1">
      <formula>$F$19="No"</formula>
    </cfRule>
  </conditionalFormatting>
  <conditionalFormatting sqref="C70">
    <cfRule type="expression" dxfId="206" priority="343" stopIfTrue="1">
      <formula>(OR($G$67=$Q$133,$G$67=$Q$132,$G$67=$Q$130))</formula>
    </cfRule>
  </conditionalFormatting>
  <conditionalFormatting sqref="C74 D74:E75">
    <cfRule type="expression" dxfId="205" priority="500" stopIfTrue="1">
      <formula>$F$19=$Q$132</formula>
    </cfRule>
  </conditionalFormatting>
  <conditionalFormatting sqref="C75">
    <cfRule type="expression" dxfId="204" priority="522" stopIfTrue="1">
      <formula>$F$19=$Q$132</formula>
    </cfRule>
  </conditionalFormatting>
  <conditionalFormatting sqref="C71:E77">
    <cfRule type="expression" dxfId="203" priority="7" stopIfTrue="1">
      <formula>(OR($G$67=$Q$133,$G$67=$Q$132,$G$67=$Q$130))</formula>
    </cfRule>
  </conditionalFormatting>
  <conditionalFormatting sqref="C76:E77">
    <cfRule type="expression" dxfId="202" priority="8" stopIfTrue="1">
      <formula>$F$19=$Q$132</formula>
    </cfRule>
  </conditionalFormatting>
  <conditionalFormatting sqref="C16:F25">
    <cfRule type="expression" dxfId="201" priority="37" stopIfTrue="1">
      <formula>$B$13=$Q$130</formula>
    </cfRule>
  </conditionalFormatting>
  <conditionalFormatting sqref="C34:G34 B34:B35 C35:D35 C37:G37 B37:B38 C38:D38 C40:G40 B40:B41 C41">
    <cfRule type="expression" dxfId="200" priority="600" stopIfTrue="1">
      <formula>$B$30=$R$132</formula>
    </cfRule>
  </conditionalFormatting>
  <conditionalFormatting sqref="C91:G91">
    <cfRule type="expression" dxfId="199" priority="415" stopIfTrue="1">
      <formula>OR($G$86=$Q$133,$G$86=$Q$132,$G$86=$Q$130,$G$88=$S$130)</formula>
    </cfRule>
    <cfRule type="expression" dxfId="198" priority="414" stopIfTrue="1">
      <formula>$G$88=$S$132</formula>
    </cfRule>
  </conditionalFormatting>
  <conditionalFormatting sqref="D41">
    <cfRule type="expression" dxfId="197" priority="599" stopIfTrue="1">
      <formula>OR($D$40=$P$132,$D$40=$P$130)</formula>
    </cfRule>
  </conditionalFormatting>
  <conditionalFormatting sqref="D45:D50 D52">
    <cfRule type="expression" dxfId="196" priority="287" stopIfTrue="1">
      <formula>E45="n/a"</formula>
    </cfRule>
  </conditionalFormatting>
  <conditionalFormatting sqref="D55:D57 B55:B58">
    <cfRule type="expression" dxfId="195" priority="471" stopIfTrue="1">
      <formula>E55="n/a"</formula>
    </cfRule>
  </conditionalFormatting>
  <conditionalFormatting sqref="D58">
    <cfRule type="expression" dxfId="194" priority="466" stopIfTrue="1">
      <formula>$F$19="No"</formula>
    </cfRule>
    <cfRule type="expression" dxfId="193" priority="465" stopIfTrue="1">
      <formula>E58="n/a"</formula>
    </cfRule>
  </conditionalFormatting>
  <conditionalFormatting sqref="D70">
    <cfRule type="expression" dxfId="192" priority="360" stopIfTrue="1">
      <formula>(OR($G$67=$Q$133,$G$67=$Q$132,$G$67=$Q$130))</formula>
    </cfRule>
  </conditionalFormatting>
  <conditionalFormatting sqref="D103">
    <cfRule type="expression" dxfId="191" priority="622" stopIfTrue="1">
      <formula>AND((OR($G$86=$Q$132,$G$86=$Q$133,$G$86=$Q$130)),(OR($G$67=$Q$132,$G$67=$Q$133,$G$67=$Q$130)))</formula>
    </cfRule>
    <cfRule type="expression" dxfId="190" priority="621" stopIfTrue="1">
      <formula>B30=R132</formula>
    </cfRule>
  </conditionalFormatting>
  <conditionalFormatting sqref="D70:E70 C79:G79">
    <cfRule type="expression" dxfId="189" priority="335" stopIfTrue="1">
      <formula>(OR($G$67=$Q$133,$G$67=$Q$132,$G$67=$Q$130))</formula>
    </cfRule>
  </conditionalFormatting>
  <conditionalFormatting sqref="E45:E50 E52:E53">
    <cfRule type="expression" dxfId="188" priority="272" stopIfTrue="1">
      <formula>E45="n/a"</formula>
    </cfRule>
  </conditionalFormatting>
  <conditionalFormatting sqref="E55:E57">
    <cfRule type="expression" dxfId="187" priority="486" stopIfTrue="1">
      <formula>$F$19="no"</formula>
    </cfRule>
    <cfRule type="expression" dxfId="186" priority="485" stopIfTrue="1">
      <formula>#REF!="n/a"</formula>
    </cfRule>
  </conditionalFormatting>
  <conditionalFormatting sqref="E58">
    <cfRule type="expression" dxfId="185" priority="483" stopIfTrue="1">
      <formula>E58="n/a"</formula>
    </cfRule>
    <cfRule type="expression" dxfId="184" priority="484" stopIfTrue="1">
      <formula>$F$19="No"</formula>
    </cfRule>
  </conditionalFormatting>
  <conditionalFormatting sqref="E59:E60">
    <cfRule type="expression" dxfId="183" priority="487" stopIfTrue="1">
      <formula>$F$19="No"</formula>
    </cfRule>
  </conditionalFormatting>
  <conditionalFormatting sqref="E103">
    <cfRule type="expression" dxfId="182" priority="624" stopIfTrue="1">
      <formula>AND((OR($G$86=$Q$132,$G$86=$Q$133,$G$86=$Q$130)),(OR($G$67=$Q$132,$G$67=$Q$133,$G$67=$Q$130)))</formula>
    </cfRule>
    <cfRule type="expression" dxfId="181" priority="623" stopIfTrue="1">
      <formula>B30=R132</formula>
    </cfRule>
  </conditionalFormatting>
  <conditionalFormatting sqref="F45:F50 F52:F53 R52:R53">
    <cfRule type="expression" dxfId="180" priority="285" stopIfTrue="1">
      <formula>E45="n/a"</formula>
    </cfRule>
  </conditionalFormatting>
  <conditionalFormatting sqref="F55:F58">
    <cfRule type="expression" dxfId="179" priority="467" stopIfTrue="1">
      <formula>E55="n/a"</formula>
    </cfRule>
  </conditionalFormatting>
  <conditionalFormatting sqref="F58">
    <cfRule type="expression" dxfId="178" priority="468" stopIfTrue="1">
      <formula>$F$19="No"</formula>
    </cfRule>
  </conditionalFormatting>
  <conditionalFormatting sqref="F70:F73">
    <cfRule type="expression" dxfId="177" priority="362" stopIfTrue="1">
      <formula>(OR($G$67=$Q$133,$G$67=$Q$132,$G$67=$Q$130))</formula>
    </cfRule>
    <cfRule type="expression" dxfId="176" priority="361" stopIfTrue="1">
      <formula>E70=$Q$132</formula>
    </cfRule>
  </conditionalFormatting>
  <conditionalFormatting sqref="F74">
    <cfRule type="expression" dxfId="175" priority="648" stopIfTrue="1">
      <formula>E74=$Q$132</formula>
    </cfRule>
  </conditionalFormatting>
  <conditionalFormatting sqref="F74:F75">
    <cfRule type="expression" dxfId="174" priority="647" stopIfTrue="1">
      <formula>(OR($G$67=$Q$133,$G$67=$Q$132,$G$67=$Q$130))</formula>
    </cfRule>
  </conditionalFormatting>
  <conditionalFormatting sqref="F75">
    <cfRule type="expression" dxfId="173" priority="654" stopIfTrue="1">
      <formula>$F$19=$Q$132</formula>
    </cfRule>
    <cfRule type="expression" dxfId="172" priority="653" stopIfTrue="1">
      <formula>E73=$Q$132</formula>
    </cfRule>
  </conditionalFormatting>
  <conditionalFormatting sqref="F76:F77">
    <cfRule type="expression" dxfId="171" priority="5" stopIfTrue="1">
      <formula>(OR($G$67=$Q$133,$G$67=$Q$132,$G$67=$Q$130))</formula>
    </cfRule>
    <cfRule type="expression" dxfId="170" priority="6" stopIfTrue="1">
      <formula>E76=$Q$132</formula>
    </cfRule>
  </conditionalFormatting>
  <conditionalFormatting sqref="F94">
    <cfRule type="expression" dxfId="169" priority="409" stopIfTrue="1">
      <formula>OR($G$86=$Q$133,$G$86=$Q$132,$G$86=$Q$130,$G$88=$S$130)</formula>
    </cfRule>
    <cfRule type="expression" dxfId="168" priority="411" stopIfTrue="1">
      <formula>OR($G$86=$Q$133,$G$86=$Q$132,$G$88=$S$130)</formula>
    </cfRule>
    <cfRule type="expression" dxfId="167" priority="410" stopIfTrue="1">
      <formula>$G$88=$S$131</formula>
    </cfRule>
  </conditionalFormatting>
  <conditionalFormatting sqref="F102">
    <cfRule type="expression" dxfId="166" priority="393" stopIfTrue="1">
      <formula>$E$102=$Q$132</formula>
    </cfRule>
  </conditionalFormatting>
  <conditionalFormatting sqref="F103">
    <cfRule type="expression" dxfId="165" priority="593" stopIfTrue="1">
      <formula>B30=R132</formula>
    </cfRule>
    <cfRule type="expression" dxfId="164" priority="594" stopIfTrue="1">
      <formula>AND((OR($G$86=$Q$132,$G$86=$Q$133,$G$86=$Q$130)),(OR($G$67=$Q$132,$G$67=$Q$133,$G$67=$Q$130)))</formula>
    </cfRule>
    <cfRule type="expression" dxfId="163" priority="595" stopIfTrue="1">
      <formula>$E$103=$Q$132</formula>
    </cfRule>
  </conditionalFormatting>
  <conditionalFormatting sqref="F55:G57 C59:C60">
    <cfRule type="expression" dxfId="162" priority="476" stopIfTrue="1">
      <formula>$F$19="no"</formula>
    </cfRule>
  </conditionalFormatting>
  <conditionalFormatting sqref="F74:G74">
    <cfRule type="expression" dxfId="161" priority="646" stopIfTrue="1">
      <formula>$F$19=$Q$132</formula>
    </cfRule>
  </conditionalFormatting>
  <conditionalFormatting sqref="F76:G77">
    <cfRule type="expression" dxfId="160" priority="2" stopIfTrue="1">
      <formula>$F$19=$Q$132</formula>
    </cfRule>
  </conditionalFormatting>
  <conditionalFormatting sqref="G16">
    <cfRule type="expression" dxfId="159" priority="636" stopIfTrue="1">
      <formula>F16=$Q$131</formula>
    </cfRule>
    <cfRule type="expression" dxfId="158" priority="637" stopIfTrue="1">
      <formula>AND(OR($F$16=$Q$132,$F$16=$Q$130),$G$16&gt;0)</formula>
    </cfRule>
  </conditionalFormatting>
  <conditionalFormatting sqref="G16:G22">
    <cfRule type="expression" dxfId="157" priority="20" stopIfTrue="1">
      <formula>$B$13=$Q$130</formula>
    </cfRule>
  </conditionalFormatting>
  <conditionalFormatting sqref="G17">
    <cfRule type="expression" dxfId="156" priority="633" stopIfTrue="1">
      <formula>AND(OR($F$17=$Q$132,$F$17=$Q$130),$G$17&gt;0)</formula>
    </cfRule>
    <cfRule type="expression" dxfId="155" priority="35" stopIfTrue="1">
      <formula>F17=$Q$131</formula>
    </cfRule>
  </conditionalFormatting>
  <conditionalFormatting sqref="G18">
    <cfRule type="expression" dxfId="154" priority="34" stopIfTrue="1">
      <formula>AND(OR($F$18=$Q$132,$F$18=$Q$130),$G$18&gt;0)</formula>
    </cfRule>
  </conditionalFormatting>
  <conditionalFormatting sqref="G18:G19">
    <cfRule type="expression" dxfId="153" priority="18" stopIfTrue="1">
      <formula>F18=$Q$131</formula>
    </cfRule>
  </conditionalFormatting>
  <conditionalFormatting sqref="G19">
    <cfRule type="expression" dxfId="152" priority="33" stopIfTrue="1">
      <formula>AND(OR($F$19=$Q$132,$F$19=$Q$130),$G$19&gt;0)</formula>
    </cfRule>
  </conditionalFormatting>
  <conditionalFormatting sqref="G21">
    <cfRule type="expression" dxfId="151" priority="70" stopIfTrue="1">
      <formula>AND(OR($F$21=$Q$132,$F$21=$Q$130),$G$21&gt;0)</formula>
    </cfRule>
  </conditionalFormatting>
  <conditionalFormatting sqref="G21:G22">
    <cfRule type="expression" dxfId="150" priority="30" stopIfTrue="1">
      <formula>OR($B$13=$R$134,$B$13=$R$135,$B$13=$R$136)</formula>
    </cfRule>
    <cfRule type="expression" dxfId="149" priority="16" stopIfTrue="1">
      <formula>F21=$Q$131</formula>
    </cfRule>
  </conditionalFormatting>
  <conditionalFormatting sqref="G22">
    <cfRule type="expression" dxfId="148" priority="69" stopIfTrue="1">
      <formula>AND(OR($F$22=$Q$132,$F$22=$Q$130),$G$22&gt;0)</formula>
    </cfRule>
  </conditionalFormatting>
  <conditionalFormatting sqref="G23">
    <cfRule type="expression" dxfId="147" priority="68" stopIfTrue="1">
      <formula>F23=$Q$131</formula>
    </cfRule>
    <cfRule type="expression" dxfId="146" priority="29" stopIfTrue="1">
      <formula>$B$13=$R$135</formula>
    </cfRule>
    <cfRule type="expression" dxfId="145" priority="641" stopIfTrue="1">
      <formula>AND(OR($F$23=$Q$132,$F$23=$Q$130),$G$23&gt;0)</formula>
    </cfRule>
  </conditionalFormatting>
  <conditionalFormatting sqref="G23:G24">
    <cfRule type="expression" dxfId="144" priority="15" stopIfTrue="1">
      <formula>$B$13=$Q$130</formula>
    </cfRule>
  </conditionalFormatting>
  <conditionalFormatting sqref="G24">
    <cfRule type="expression" dxfId="143" priority="14" stopIfTrue="1">
      <formula>F24=$Q$131</formula>
    </cfRule>
    <cfRule type="expression" dxfId="142" priority="67" stopIfTrue="1">
      <formula>AND(OR($F$24=$Q$132,$F$24=$Q$130),$G$24&gt;0)</formula>
    </cfRule>
    <cfRule type="expression" dxfId="141" priority="28" stopIfTrue="1">
      <formula>OR($B$13=$R$134,$B$13=$R$135,$B$13=$R$136)</formula>
    </cfRule>
  </conditionalFormatting>
  <conditionalFormatting sqref="G25">
    <cfRule type="expression" dxfId="140" priority="13" stopIfTrue="1">
      <formula>$B$13=$Q$130</formula>
    </cfRule>
    <cfRule type="expression" dxfId="139" priority="27" stopIfTrue="1">
      <formula>$B$13=$R$135</formula>
    </cfRule>
    <cfRule type="expression" dxfId="138" priority="66" stopIfTrue="1">
      <formula>F25=$Q$131</formula>
    </cfRule>
    <cfRule type="expression" dxfId="137" priority="644" stopIfTrue="1">
      <formula>AND(OR($F$25=$Q$132,$F$25=$Q$130),$G$25&gt;0)</formula>
    </cfRule>
  </conditionalFormatting>
  <conditionalFormatting sqref="G45:G50 G52">
    <cfRule type="expression" dxfId="136" priority="286" stopIfTrue="1">
      <formula>E45="n/a"</formula>
    </cfRule>
  </conditionalFormatting>
  <conditionalFormatting sqref="G55:G57">
    <cfRule type="expression" dxfId="135" priority="475" stopIfTrue="1">
      <formula>I55="n/a"</formula>
    </cfRule>
  </conditionalFormatting>
  <conditionalFormatting sqref="G58">
    <cfRule type="expression" dxfId="134" priority="469" stopIfTrue="1">
      <formula>E58="n/a"</formula>
    </cfRule>
    <cfRule type="expression" dxfId="133" priority="470" stopIfTrue="1">
      <formula>$F$19="No"</formula>
    </cfRule>
  </conditionalFormatting>
  <conditionalFormatting sqref="G70:G73">
    <cfRule type="expression" dxfId="132" priority="369" stopIfTrue="1">
      <formula>E70=$Q$132</formula>
    </cfRule>
  </conditionalFormatting>
  <conditionalFormatting sqref="G70:G74">
    <cfRule type="expression" dxfId="131" priority="368" stopIfTrue="1">
      <formula>(OR($G$67=$Q$133,$G$67=$Q$132,$G$67=$Q$130))</formula>
    </cfRule>
  </conditionalFormatting>
  <conditionalFormatting sqref="G74">
    <cfRule type="expression" dxfId="130" priority="651" stopIfTrue="1">
      <formula>E74=$Q$132</formula>
    </cfRule>
  </conditionalFormatting>
  <conditionalFormatting sqref="G75">
    <cfRule type="expression" dxfId="129" priority="657" stopIfTrue="1">
      <formula>(OR($G$67=$Q$133,$G$67=$Q$132,$G$67=$Q$130))</formula>
    </cfRule>
    <cfRule type="expression" dxfId="128" priority="655" stopIfTrue="1">
      <formula>E73=$Q$132</formula>
    </cfRule>
    <cfRule type="expression" dxfId="127" priority="656" stopIfTrue="1">
      <formula>$F$19=$Q$132</formula>
    </cfRule>
  </conditionalFormatting>
  <conditionalFormatting sqref="G76:G77">
    <cfRule type="expression" dxfId="126" priority="1" stopIfTrue="1">
      <formula>(OR($G$67=$Q$133,$G$67=$Q$132,$G$67=$Q$130))</formula>
    </cfRule>
    <cfRule type="expression" dxfId="125" priority="3" stopIfTrue="1">
      <formula>E76=$Q$132</formula>
    </cfRule>
  </conditionalFormatting>
  <conditionalFormatting sqref="G88">
    <cfRule type="expression" dxfId="124" priority="342" stopIfTrue="1">
      <formula>OR($G$86=$Q$133,$G$86=$Q$132,$G$86=$Q$130)</formula>
    </cfRule>
  </conditionalFormatting>
  <conditionalFormatting sqref="G94">
    <cfRule type="expression" dxfId="123" priority="408" stopIfTrue="1">
      <formula>OR($G$86=$Q$133,$G$86=$Q$132,$G$86=$Q$130,$G$88=$S$130)</formula>
    </cfRule>
    <cfRule type="expression" dxfId="122" priority="407" stopIfTrue="1">
      <formula>$G$88=$S$131</formula>
    </cfRule>
    <cfRule type="expression" dxfId="121" priority="406" stopIfTrue="1">
      <formula>OR($G$86=$Q$133,$G$86=$Q$132,$G$88=$S$130)</formula>
    </cfRule>
  </conditionalFormatting>
  <conditionalFormatting sqref="G99 D102:F102 G105 D107:G107 D110:F110 G115">
    <cfRule type="expression" dxfId="120" priority="386" stopIfTrue="1">
      <formula>AND((OR($G$86=$Q$132,$G$86=$Q$133,$G$86=$Q$130)),(OR($G$67=$Q$132,$G$67=$Q$133,$G$67=$Q$130)))</formula>
    </cfRule>
  </conditionalFormatting>
  <conditionalFormatting sqref="G102">
    <cfRule type="expression" dxfId="119" priority="394" stopIfTrue="1">
      <formula>$E$102=$Q$132</formula>
    </cfRule>
    <cfRule type="expression" dxfId="118" priority="395" stopIfTrue="1">
      <formula>AND((OR($G$86=$Q$132,$G$86=$Q$133,$G$86=$Q$130)),(OR($G$67=$Q$132,$G$67=$Q$133,$G$67=$Q$130)))</formula>
    </cfRule>
  </conditionalFormatting>
  <conditionalFormatting sqref="G103">
    <cfRule type="expression" dxfId="117" priority="613" stopIfTrue="1">
      <formula>B30=R132</formula>
    </cfRule>
    <cfRule type="expression" dxfId="116" priority="614" stopIfTrue="1">
      <formula>AND((OR($G$86=$Q$132,$G$86=$Q$133,$G$86=$Q$130)),(OR($G$67=$Q$132,$G$67=$Q$133,$G$67=$Q$130)))</formula>
    </cfRule>
    <cfRule type="expression" dxfId="115" priority="615" stopIfTrue="1">
      <formula>$E$103=$Q$132</formula>
    </cfRule>
  </conditionalFormatting>
  <conditionalFormatting sqref="G109">
    <cfRule type="expression" dxfId="114" priority="400" stopIfTrue="1">
      <formula>AND((OR($G$86=$Q$132,$G$86=$Q$133,$G$86=$Q$130)),(OR($G$67=$Q$132,$G$67=$Q$133,$G$67=$Q$130)))</formula>
    </cfRule>
    <cfRule type="expression" dxfId="113" priority="402" stopIfTrue="1">
      <formula>AND((OR($G$86=$Q$132,$G$86=$Q$133,$G$86=$Q$130)),(OR($G$67=$Q$132,$G$67=$Q$133,$G$67=$Q$130)))</formula>
    </cfRule>
    <cfRule type="expression" dxfId="112" priority="401" stopIfTrue="1">
      <formula>OR($G$107=$Q$130,$G$107=$Q$130)</formula>
    </cfRule>
  </conditionalFormatting>
  <conditionalFormatting sqref="G110">
    <cfRule type="expression" dxfId="111" priority="339" stopIfTrue="1">
      <formula>OR($G$107=$Q$132,$G$107=$Q$130)</formula>
    </cfRule>
    <cfRule type="expression" dxfId="110" priority="340" stopIfTrue="1">
      <formula>$G$109=0</formula>
    </cfRule>
    <cfRule type="expression" dxfId="109" priority="341" stopIfTrue="1">
      <formula>AND((OR($G$86=$Q$132,$G$86=$Q$133)),(OR($G$67=$Q$132,$G$67=$Q$133)))</formula>
    </cfRule>
  </conditionalFormatting>
  <conditionalFormatting sqref="G112">
    <cfRule type="expression" dxfId="108" priority="405" stopIfTrue="1">
      <formula>AND((OR($G$86=$Q$132,$G$86=$Q$133,$G$86=$Q$130)),(OR($G$67=$Q$132,$G$67=$Q$133,$G$67=$Q$130)))</formula>
    </cfRule>
    <cfRule type="expression" dxfId="107" priority="404" stopIfTrue="1">
      <formula>OR($G$107=$Q$130,$G$107=$Q$130)</formula>
    </cfRule>
    <cfRule type="expression" dxfId="106" priority="403" stopIfTrue="1">
      <formula>AND((OR($G$86=$Q$132,$G$86=$Q$133,$G$86=$Q$130)),(OR($G$67=$Q$132,$G$67=$Q$133,$G$67=$Q$130)))</formula>
    </cfRule>
  </conditionalFormatting>
  <dataValidations xWindow="1317" yWindow="371" count="23">
    <dataValidation allowBlank="1" showInputMessage="1" showErrorMessage="1" prompt="Enter the relevant specification._x000a__x000a_Important: If component is not specified, leave cell blank i.e. empty of figure." sqref="D55:D57 D52:D53 D45:D49" xr:uid="{00000000-0002-0000-0900-000000000000}"/>
    <dataValidation type="list" allowBlank="1" showInputMessage="1" showErrorMessage="1" sqref="F102:F103 F70:F75" xr:uid="{00000000-0002-0000-0900-000001000000}">
      <formula1>$T$130:$T$230</formula1>
    </dataValidation>
    <dataValidation type="list" showInputMessage="1" showErrorMessage="1" prompt="Only include greywater collected from the washing machine for other uses e.g. toilet flushing/irrigation. Water re-used within the washing machine i.e. final rinse water used for the pre-wash of the next load should not be counted within this calculation." sqref="E77" xr:uid="{00000000-0002-0000-0900-000002000000}">
      <formula1>$Q$131:$Q$132</formula1>
    </dataValidation>
    <dataValidation type="list" showInputMessage="1" showErrorMessage="1" prompt="Only include greywater collected from the dishwasher for other uses e.g. toilet flushing/irrigation. Water re-used within the dishwasher i.e. final rinse water used for the pre-wash of the next load should not be counted within this calculation." sqref="E75" xr:uid="{00000000-0002-0000-0900-000003000000}">
      <formula1>$Q$131:$Q$132</formula1>
    </dataValidation>
    <dataValidation allowBlank="1" showInputMessage="1" showErrorMessage="1" prompt="If frequency of yield occurs every day, then state 1, if every 5 days then state 5 etc." sqref="E79" xr:uid="{00000000-0002-0000-0900-000004000000}"/>
    <dataValidation type="list" showInputMessage="1" showErrorMessage="1" sqref="G86 G67" xr:uid="{00000000-0002-0000-0900-000005000000}">
      <formula1>$Q$130:$Q$133</formula1>
    </dataValidation>
    <dataValidation type="list" showInputMessage="1" showErrorMessage="1" sqref="G88" xr:uid="{00000000-0002-0000-0900-000006000000}">
      <formula1>$S$130:$S$132</formula1>
    </dataValidation>
    <dataValidation allowBlank="1" showInputMessage="1" showErrorMessage="1" prompt="Insert the daily rainfall collected (and therefore used) in litres determined in accordance with BS8515 'Detailed Approach&quot;." sqref="F94" xr:uid="{00000000-0002-0000-0900-000007000000}"/>
    <dataValidation type="list" allowBlank="1" showInputMessage="1" showErrorMessage="1" sqref="F76:F77" xr:uid="{00000000-0002-0000-0900-000008000000}">
      <formula1>$Y$138:$Y$261</formula1>
    </dataValidation>
    <dataValidation type="list" showInputMessage="1" showErrorMessage="1" sqref="E102:E103 E70:E74 E76" xr:uid="{00000000-0002-0000-0900-000009000000}">
      <formula1>$Q$131:$Q$132</formula1>
    </dataValidation>
    <dataValidation type="list" showInputMessage="1" showErrorMessage="1" sqref="G107 F16:F25" xr:uid="{00000000-0002-0000-0900-00000A000000}">
      <formula1>$Q$130:$Q$132</formula1>
    </dataValidation>
    <dataValidation type="list" operator="lessThanOrEqual" allowBlank="1" showInputMessage="1" showErrorMessage="1" sqref="G110" xr:uid="{00000000-0002-0000-0900-00000B000000}">
      <formula1>$T$130:$T$230</formula1>
    </dataValidation>
    <dataValidation allowBlank="1" showInputMessage="1" showErrorMessage="1" prompt="Enter the effective flush volume for the WCs specified._x000a__x000a_Important: If component is not specified, leave cell blank i.e. empty of figure._x000a__x000a_Refer to the technical guide for a definition oof effective flush volume and how to calculate it." sqref="D30:D31" xr:uid="{00000000-0002-0000-0900-00000C000000}"/>
    <dataValidation allowBlank="1" showInputMessage="1" showErrorMessage="1" prompt="Enter the total number of cisterns specified (at specifed capacity) in building." sqref="E34" xr:uid="{00000000-0002-0000-0900-00000D000000}"/>
    <dataValidation allowBlank="1" showInputMessage="1" showErrorMessage="1" prompt="Enter the capacity (in litres) of the cistern specified for supplying water for urinal flushing purposes._x000a__x000a_Important: If component is not specified, leave cell blank i.e. empty of figure." sqref="D34" xr:uid="{00000000-0002-0000-0900-00000E000000}"/>
    <dataValidation allowBlank="1" showInputMessage="1" showErrorMessage="1" prompt="Enter the total number of urinal's in the building that use this type of flushing control_x000a__x000a_Where a urinal slab is specified, use a default of one urinal for each 700mm width of urinal slab." sqref="D35" xr:uid="{00000000-0002-0000-0900-00000F000000}"/>
    <dataValidation allowBlank="1" showInputMessage="1" showErrorMessage="1" prompt="Enter the total number of urinal's in the building that use this type of flushing control." sqref="D38" xr:uid="{00000000-0002-0000-0900-000010000000}"/>
    <dataValidation allowBlank="1" showInputMessage="1" showErrorMessage="1" prompt="Enter the total number of urinal's in the building that are classed as waterless urinals." sqref="D41" xr:uid="{00000000-0002-0000-0900-000011000000}"/>
    <dataValidation type="list" showInputMessage="1" showErrorMessage="1" sqref="B30" xr:uid="{00000000-0002-0000-0900-000012000000}">
      <formula1>$R$130:$R$132</formula1>
    </dataValidation>
    <dataValidation type="list" allowBlank="1" showInputMessage="1" showErrorMessage="1" sqref="D40" xr:uid="{00000000-0002-0000-0900-000013000000}">
      <formula1>$P$130:$P$132</formula1>
    </dataValidation>
    <dataValidation allowBlank="1" showInputMessage="1" showErrorMessage="1" prompt="Enter the litres per flush per bowl._x000a__x000a_Important: If component is not specified, leave cell blank i.e. empty of figure." sqref="D37" xr:uid="{00000000-0002-0000-0900-000014000000}"/>
    <dataValidation type="list" allowBlank="1" showInputMessage="1" showErrorMessage="1" sqref="B13" xr:uid="{00000000-0002-0000-0900-000015000000}">
      <formula1>$R$134:$R$138</formula1>
    </dataValidation>
    <dataValidation type="list" allowBlank="1" showInputMessage="1" showErrorMessage="1" sqref="C10:D10" xr:uid="{11A84A7A-3009-481B-9BD2-EA9EB179B01F}">
      <formula1>$R$122:$R$125</formula1>
    </dataValidation>
  </dataValidations>
  <pageMargins left="0.75" right="0.75" top="1" bottom="1" header="0.5" footer="0.5"/>
  <pageSetup paperSize="9" orientation="portrait" r:id="rId1"/>
  <headerFooter alignWithMargins="0"/>
  <ignoredErrors>
    <ignoredError sqref="C13 F13:G13" evalError="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election activeCell="B64" sqref="B64:E64"/>
    </sheetView>
  </sheetViews>
  <sheetFormatPr defaultRowHeight="12.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248"/>
  <sheetViews>
    <sheetView zoomScaleNormal="100" workbookViewId="0">
      <pane ySplit="11" topLeftCell="A12" activePane="bottomLeft" state="frozen"/>
      <selection activeCell="M4" sqref="M4"/>
      <selection pane="bottomLeft" activeCell="D5" sqref="D5:G5"/>
    </sheetView>
  </sheetViews>
  <sheetFormatPr defaultColWidth="0" defaultRowHeight="14.5" zeroHeight="1" x14ac:dyDescent="0.35"/>
  <cols>
    <col min="1" max="1" width="5.26953125" style="348" customWidth="1"/>
    <col min="2" max="2" width="10.81640625" style="348" customWidth="1"/>
    <col min="3" max="3" width="84.1796875" style="394" customWidth="1"/>
    <col min="4" max="4" width="16.26953125" style="394" customWidth="1"/>
    <col min="5" max="7" width="15.7265625" style="368" customWidth="1"/>
    <col min="8" max="8" width="15.7265625" style="394" customWidth="1"/>
    <col min="9" max="9" width="16.26953125" style="368" customWidth="1"/>
    <col min="10" max="16" width="15.7265625" style="368" customWidth="1"/>
    <col min="17" max="17" width="15.54296875" style="350" customWidth="1"/>
    <col min="18" max="18" width="39.54296875" style="349" customWidth="1"/>
    <col min="19" max="19" width="50.81640625" style="348" customWidth="1"/>
    <col min="20" max="35" width="9.1796875" style="348" customWidth="1"/>
    <col min="36" max="16384" width="9.1796875" style="348" hidden="1"/>
  </cols>
  <sheetData>
    <row r="1" spans="1:27" ht="15" customHeight="1" x14ac:dyDescent="0.35">
      <c r="C1" s="348"/>
      <c r="D1" s="348"/>
      <c r="E1" s="349"/>
      <c r="F1" s="349"/>
      <c r="G1" s="349"/>
      <c r="H1" s="348"/>
      <c r="I1" s="349"/>
      <c r="J1" s="349"/>
      <c r="K1" s="349"/>
      <c r="L1" s="349"/>
      <c r="M1" s="349"/>
      <c r="N1" s="349"/>
      <c r="O1" s="349"/>
      <c r="P1" s="349"/>
    </row>
    <row r="2" spans="1:27" ht="36" customHeight="1" x14ac:dyDescent="0.35">
      <c r="B2" s="440" t="s">
        <v>851</v>
      </c>
      <c r="C2" s="416"/>
      <c r="D2" s="416"/>
      <c r="E2" s="416"/>
      <c r="F2" s="416"/>
      <c r="G2" s="416"/>
      <c r="H2" s="440"/>
      <c r="I2" s="416"/>
      <c r="J2" s="416"/>
      <c r="K2" s="416"/>
      <c r="L2" s="416"/>
      <c r="M2" s="416"/>
      <c r="N2" s="440"/>
      <c r="O2" s="416"/>
      <c r="P2" s="349"/>
      <c r="Q2" s="348"/>
      <c r="R2" s="517"/>
    </row>
    <row r="3" spans="1:27" ht="21" customHeight="1" x14ac:dyDescent="0.35">
      <c r="C3" s="349"/>
      <c r="D3" s="349"/>
      <c r="E3" s="349"/>
      <c r="F3" s="349"/>
      <c r="G3" s="349"/>
      <c r="H3" s="349"/>
      <c r="I3" s="349"/>
      <c r="J3" s="349"/>
      <c r="K3" s="349"/>
      <c r="L3" s="349"/>
      <c r="M3" s="349"/>
      <c r="N3" s="349"/>
      <c r="O3" s="349"/>
      <c r="P3" s="349"/>
      <c r="Q3" s="517" t="s">
        <v>690</v>
      </c>
      <c r="R3" s="517"/>
    </row>
    <row r="4" spans="1:27" ht="20.149999999999999" customHeight="1" x14ac:dyDescent="0.35">
      <c r="C4" s="348"/>
      <c r="D4" s="348"/>
      <c r="E4" s="349"/>
      <c r="F4" s="349"/>
      <c r="G4" s="349"/>
      <c r="H4" s="348"/>
      <c r="I4" s="349"/>
      <c r="J4" s="349"/>
      <c r="K4" s="349"/>
      <c r="L4" s="349"/>
      <c r="M4" s="349"/>
      <c r="N4" s="349"/>
      <c r="O4" s="349"/>
      <c r="P4" s="349"/>
      <c r="Q4" s="211"/>
      <c r="R4" s="347" t="s">
        <v>691</v>
      </c>
      <c r="S4" s="140"/>
      <c r="T4" s="140"/>
      <c r="U4" s="117"/>
      <c r="V4" s="349"/>
      <c r="W4" s="349"/>
      <c r="X4" s="349"/>
      <c r="Y4" s="349"/>
    </row>
    <row r="5" spans="1:27" ht="20.149999999999999" customHeight="1" x14ac:dyDescent="0.35">
      <c r="A5" s="351" t="str">
        <f>IF(OR(Wat01_building_type="",Wat01_building_type=C145),"→","")</f>
        <v/>
      </c>
      <c r="B5" s="606" t="s">
        <v>852</v>
      </c>
      <c r="C5" s="607"/>
      <c r="D5" s="613" t="s">
        <v>935</v>
      </c>
      <c r="E5" s="614"/>
      <c r="F5" s="614"/>
      <c r="G5" s="615"/>
      <c r="H5" s="482" t="s">
        <v>854</v>
      </c>
      <c r="I5" s="473"/>
      <c r="J5" s="473"/>
      <c r="K5" s="473"/>
      <c r="L5" s="611"/>
      <c r="M5" s="611"/>
      <c r="N5" s="611"/>
      <c r="O5" s="611"/>
      <c r="P5" s="352" t="str">
        <f>IF(AND(L5="",OR(Wat01_building_type=C157,Wat01_building_type=C156)),"←","")</f>
        <v/>
      </c>
      <c r="Q5" s="212"/>
      <c r="R5" s="347" t="s">
        <v>693</v>
      </c>
      <c r="S5" s="140"/>
      <c r="T5" s="140"/>
      <c r="U5" s="117"/>
      <c r="V5" s="349"/>
      <c r="W5" s="349"/>
      <c r="X5" s="349"/>
      <c r="Y5" s="349"/>
      <c r="Z5" s="353"/>
      <c r="AA5" s="522"/>
    </row>
    <row r="6" spans="1:27" ht="5.15" customHeight="1" x14ac:dyDescent="0.35">
      <c r="A6" s="351"/>
      <c r="B6" s="345"/>
      <c r="C6" s="345"/>
      <c r="D6" s="471"/>
      <c r="E6" s="471"/>
      <c r="F6" s="471"/>
      <c r="G6" s="471"/>
      <c r="H6" s="472"/>
      <c r="I6" s="473"/>
      <c r="J6" s="473"/>
      <c r="K6" s="473"/>
      <c r="L6" s="354"/>
      <c r="M6" s="354"/>
      <c r="N6" s="354"/>
      <c r="O6" s="354"/>
      <c r="P6" s="352"/>
      <c r="Q6" s="212"/>
      <c r="R6" s="347"/>
      <c r="S6" s="140"/>
      <c r="T6" s="140"/>
      <c r="U6" s="117"/>
      <c r="V6" s="349"/>
      <c r="W6" s="349"/>
      <c r="X6" s="349"/>
      <c r="Y6" s="349"/>
      <c r="Z6" s="353"/>
      <c r="AA6" s="522"/>
    </row>
    <row r="7" spans="1:27" ht="20.149999999999999" customHeight="1" x14ac:dyDescent="0.35">
      <c r="A7" s="351"/>
      <c r="B7" s="345"/>
      <c r="C7" s="466" t="s">
        <v>698</v>
      </c>
      <c r="D7" s="603" t="s">
        <v>699</v>
      </c>
      <c r="E7" s="604"/>
      <c r="F7" s="604"/>
      <c r="G7" s="605"/>
      <c r="H7" s="472"/>
      <c r="I7" s="473"/>
      <c r="J7" s="473"/>
      <c r="K7" s="473"/>
      <c r="L7" s="354"/>
      <c r="M7" s="354"/>
      <c r="N7" s="354"/>
      <c r="O7" s="354"/>
      <c r="P7" s="352"/>
      <c r="Q7" s="212"/>
      <c r="R7" s="347"/>
      <c r="S7" s="140"/>
      <c r="T7" s="140"/>
      <c r="U7" s="117"/>
      <c r="V7" s="349"/>
      <c r="W7" s="349"/>
      <c r="X7" s="349"/>
      <c r="Y7" s="349"/>
      <c r="Z7" s="353"/>
      <c r="AA7" s="522"/>
    </row>
    <row r="8" spans="1:27" ht="5.15" customHeight="1" x14ac:dyDescent="0.35">
      <c r="A8" s="351"/>
      <c r="B8" s="345"/>
      <c r="C8" s="345"/>
      <c r="D8" s="471"/>
      <c r="E8" s="471"/>
      <c r="F8" s="471"/>
      <c r="G8" s="471"/>
      <c r="H8" s="472"/>
      <c r="I8" s="473"/>
      <c r="J8" s="473"/>
      <c r="K8" s="473"/>
      <c r="L8" s="354"/>
      <c r="M8" s="354"/>
      <c r="N8" s="354"/>
      <c r="O8" s="354"/>
      <c r="P8" s="352"/>
      <c r="Q8" s="212"/>
      <c r="R8" s="347"/>
      <c r="S8" s="140"/>
      <c r="T8" s="140"/>
      <c r="U8" s="117"/>
      <c r="V8" s="349"/>
      <c r="W8" s="349"/>
      <c r="X8" s="349"/>
      <c r="Y8" s="349"/>
      <c r="Z8" s="353"/>
      <c r="AA8" s="522"/>
    </row>
    <row r="9" spans="1:27" ht="20.149999999999999" customHeight="1" x14ac:dyDescent="0.35">
      <c r="B9" s="351" t="str">
        <f>IF(AND(Wat01_building_type=C157,OR(D9=$G$124,D9="")),"→","")</f>
        <v/>
      </c>
      <c r="C9" s="465" t="s">
        <v>855</v>
      </c>
      <c r="D9" s="479" t="s">
        <v>753</v>
      </c>
      <c r="E9" s="464" t="s">
        <v>856</v>
      </c>
      <c r="F9" s="464"/>
      <c r="G9" s="464"/>
      <c r="H9" s="478">
        <v>0</v>
      </c>
      <c r="I9" s="352" t="str">
        <f>IF(AND(Wat01_building_type=C157,H9=""),"←","")</f>
        <v/>
      </c>
      <c r="J9" s="354"/>
      <c r="K9" s="355"/>
      <c r="L9" s="354"/>
      <c r="M9" s="354"/>
      <c r="N9" s="354"/>
      <c r="O9" s="354"/>
      <c r="P9" s="349"/>
      <c r="Q9" s="213"/>
      <c r="R9" s="347" t="str">
        <f>'Office calculator'!J7</f>
        <v>Cells that are dark grey are user input cells which are not applicable due to either building type or user input/option selection or default setting. Note these cells can change to ones requiring user input depending on the users option selection in other cells.</v>
      </c>
      <c r="S9" s="140"/>
      <c r="T9" s="140"/>
      <c r="U9" s="117"/>
      <c r="V9" s="349"/>
      <c r="W9" s="349"/>
      <c r="X9" s="349"/>
      <c r="Y9" s="349"/>
      <c r="Z9" s="353"/>
      <c r="AA9" s="522"/>
    </row>
    <row r="10" spans="1:27" ht="20.149999999999999" customHeight="1" x14ac:dyDescent="0.35">
      <c r="B10" s="351" t="str">
        <f>IF(AND(Wat01_building_type=C157,OR(D10=$G$124,D10="")),"→","")</f>
        <v/>
      </c>
      <c r="C10" s="465" t="s">
        <v>857</v>
      </c>
      <c r="D10" s="479" t="s">
        <v>984</v>
      </c>
      <c r="E10" s="356"/>
      <c r="F10" s="356"/>
      <c r="G10" s="348"/>
      <c r="H10" s="357"/>
      <c r="I10" s="354"/>
      <c r="J10" s="354"/>
      <c r="K10" s="355"/>
      <c r="L10" s="354"/>
      <c r="M10" s="354"/>
      <c r="N10" s="354"/>
      <c r="O10" s="354"/>
      <c r="P10" s="349"/>
      <c r="Q10" s="292" t="s">
        <v>696</v>
      </c>
      <c r="R10" s="544" t="s">
        <v>858</v>
      </c>
      <c r="S10" s="544"/>
      <c r="T10" s="544"/>
      <c r="U10" s="544"/>
      <c r="V10" s="544"/>
      <c r="W10" s="544"/>
      <c r="X10" s="544"/>
      <c r="Y10" s="349"/>
      <c r="Z10" s="353"/>
      <c r="AA10" s="522"/>
    </row>
    <row r="11" spans="1:27" ht="19.5" customHeight="1" x14ac:dyDescent="0.35">
      <c r="C11" s="348"/>
      <c r="D11" s="348"/>
      <c r="E11" s="349"/>
      <c r="F11" s="349"/>
      <c r="G11" s="349"/>
      <c r="H11" s="358"/>
      <c r="I11" s="349"/>
      <c r="J11" s="349"/>
      <c r="K11" s="349"/>
      <c r="L11" s="349"/>
      <c r="M11" s="349"/>
      <c r="N11" s="349"/>
      <c r="O11" s="349"/>
      <c r="P11" s="349"/>
      <c r="R11" s="544"/>
      <c r="S11" s="544"/>
      <c r="T11" s="544"/>
      <c r="U11" s="544"/>
      <c r="V11" s="544"/>
      <c r="W11" s="544"/>
      <c r="X11" s="544"/>
      <c r="Y11" s="349"/>
      <c r="Z11" s="349"/>
      <c r="AA11" s="522"/>
    </row>
    <row r="12" spans="1:27" ht="28.5" customHeight="1" x14ac:dyDescent="0.35">
      <c r="B12" s="440" t="s">
        <v>859</v>
      </c>
      <c r="C12" s="422"/>
      <c r="D12" s="422"/>
      <c r="E12" s="422"/>
      <c r="F12" s="422"/>
      <c r="G12" s="422"/>
      <c r="H12" s="422"/>
      <c r="I12" s="422"/>
      <c r="J12" s="422"/>
      <c r="K12" s="422"/>
      <c r="L12" s="422"/>
      <c r="M12" s="422"/>
      <c r="N12" s="422"/>
      <c r="O12" s="422"/>
      <c r="P12" s="349"/>
      <c r="Q12" s="87"/>
      <c r="R12" s="346"/>
      <c r="S12" s="346"/>
      <c r="T12" s="346"/>
      <c r="U12" s="346"/>
      <c r="V12" s="349"/>
      <c r="W12" s="349"/>
      <c r="X12" s="349"/>
      <c r="Y12" s="349"/>
      <c r="Z12" s="349"/>
      <c r="AA12" s="522"/>
    </row>
    <row r="13" spans="1:27" ht="25" customHeight="1" x14ac:dyDescent="0.35">
      <c r="C13" s="348"/>
      <c r="D13" s="348"/>
      <c r="E13" s="349"/>
      <c r="F13" s="349"/>
      <c r="G13" s="349"/>
      <c r="H13" s="348"/>
      <c r="I13" s="349"/>
      <c r="J13" s="349"/>
      <c r="K13" s="349"/>
      <c r="L13" s="349"/>
      <c r="M13" s="349"/>
      <c r="N13" s="349"/>
      <c r="O13" s="349"/>
      <c r="P13" s="349"/>
      <c r="Q13" s="117"/>
      <c r="R13" s="346"/>
      <c r="S13" s="346"/>
      <c r="T13" s="346"/>
      <c r="U13" s="346"/>
      <c r="V13" s="349"/>
      <c r="W13" s="349"/>
      <c r="X13" s="349"/>
      <c r="Y13" s="349"/>
      <c r="Z13" s="349"/>
      <c r="AA13" s="522"/>
    </row>
    <row r="14" spans="1:27" ht="58" x14ac:dyDescent="0.35">
      <c r="C14" s="348"/>
      <c r="D14" s="456" t="s">
        <v>860</v>
      </c>
      <c r="E14" s="457" t="s">
        <v>861</v>
      </c>
      <c r="F14" s="457" t="s">
        <v>473</v>
      </c>
      <c r="G14" s="457" t="s">
        <v>537</v>
      </c>
      <c r="H14" s="457" t="s">
        <v>497</v>
      </c>
      <c r="I14" s="457" t="s">
        <v>862</v>
      </c>
      <c r="J14" s="457" t="s">
        <v>575</v>
      </c>
      <c r="K14" s="457" t="s">
        <v>569</v>
      </c>
      <c r="L14" s="457" t="s">
        <v>863</v>
      </c>
      <c r="M14" s="457" t="s">
        <v>864</v>
      </c>
      <c r="N14" s="457" t="s">
        <v>584</v>
      </c>
      <c r="O14" s="456" t="s">
        <v>865</v>
      </c>
      <c r="P14" s="349"/>
      <c r="R14" s="348"/>
      <c r="X14" s="349"/>
      <c r="Y14" s="349"/>
      <c r="Z14" s="349"/>
      <c r="AA14" s="522"/>
    </row>
    <row r="15" spans="1:27" ht="15" customHeight="1" x14ac:dyDescent="0.35">
      <c r="B15" s="586" t="s">
        <v>866</v>
      </c>
      <c r="C15" s="586"/>
      <c r="D15" s="344" t="str">
        <f>IF(D111="Applicable","Yes","No")</f>
        <v>Yes</v>
      </c>
      <c r="E15" s="344" t="str">
        <f>IF(OR(Wat01_building_type=C169,Wat01_building_type=C168),IF(D9=G130,G130,IF(D9=G131,G131)),IF(E111="Applicable",G125,G126))</f>
        <v>Yes</v>
      </c>
      <c r="F15" s="344" t="str">
        <f t="shared" ref="F15:O15" si="0">IF(F111="Applicable","Yes","No")</f>
        <v>Yes</v>
      </c>
      <c r="G15" s="344" t="str">
        <f t="shared" si="0"/>
        <v>Yes</v>
      </c>
      <c r="H15" s="344" t="str">
        <f>IF(H111="Applicable","Yes","No")</f>
        <v>Yes</v>
      </c>
      <c r="I15" s="344" t="str">
        <f t="shared" si="0"/>
        <v>Yes</v>
      </c>
      <c r="J15" s="344" t="str">
        <f t="shared" si="0"/>
        <v>No</v>
      </c>
      <c r="K15" s="344" t="str">
        <f t="shared" si="0"/>
        <v>Yes</v>
      </c>
      <c r="L15" s="344" t="str">
        <f t="shared" si="0"/>
        <v>Yes</v>
      </c>
      <c r="M15" s="344" t="str">
        <f t="shared" si="0"/>
        <v>Yes</v>
      </c>
      <c r="N15" s="344" t="str">
        <f t="shared" si="0"/>
        <v>Yes</v>
      </c>
      <c r="O15" s="344" t="str">
        <f t="shared" si="0"/>
        <v>Yes</v>
      </c>
      <c r="P15" s="612" t="s">
        <v>867</v>
      </c>
      <c r="Q15" s="612"/>
      <c r="R15" s="612"/>
      <c r="S15" s="612"/>
      <c r="T15" s="612"/>
      <c r="X15" s="349"/>
      <c r="Y15" s="349"/>
      <c r="Z15" s="349"/>
      <c r="AA15" s="522"/>
    </row>
    <row r="16" spans="1:27" ht="15" customHeight="1" x14ac:dyDescent="0.35">
      <c r="B16" s="586" t="s">
        <v>868</v>
      </c>
      <c r="C16" s="586"/>
      <c r="D16" s="396" t="s">
        <v>699</v>
      </c>
      <c r="E16" s="396" t="s">
        <v>968</v>
      </c>
      <c r="F16" s="396" t="s">
        <v>699</v>
      </c>
      <c r="G16" s="396" t="s">
        <v>699</v>
      </c>
      <c r="H16" s="396" t="s">
        <v>869</v>
      </c>
      <c r="I16" s="396" t="s">
        <v>699</v>
      </c>
      <c r="J16" s="396" t="s">
        <v>699</v>
      </c>
      <c r="K16" s="396" t="s">
        <v>699</v>
      </c>
      <c r="L16" s="396" t="s">
        <v>869</v>
      </c>
      <c r="M16" s="396" t="s">
        <v>869</v>
      </c>
      <c r="N16" s="396" t="s">
        <v>869</v>
      </c>
      <c r="O16" s="396" t="s">
        <v>869</v>
      </c>
      <c r="P16" s="612"/>
      <c r="Q16" s="612"/>
      <c r="R16" s="612"/>
      <c r="S16" s="612"/>
      <c r="T16" s="612"/>
      <c r="X16" s="349"/>
      <c r="Y16" s="349"/>
      <c r="Z16" s="349"/>
      <c r="AA16" s="522"/>
    </row>
    <row r="17" spans="2:27" ht="15" customHeight="1" x14ac:dyDescent="0.35">
      <c r="B17" s="586" t="s">
        <v>870</v>
      </c>
      <c r="C17" s="586"/>
      <c r="D17" s="397" t="s">
        <v>699</v>
      </c>
      <c r="E17" s="397" t="s">
        <v>699</v>
      </c>
      <c r="F17" s="397" t="s">
        <v>699</v>
      </c>
      <c r="G17" s="397" t="s">
        <v>699</v>
      </c>
      <c r="H17" s="397"/>
      <c r="I17" s="397" t="s">
        <v>699</v>
      </c>
      <c r="J17" s="397" t="s">
        <v>699</v>
      </c>
      <c r="K17" s="397" t="s">
        <v>699</v>
      </c>
      <c r="L17" s="397" t="s">
        <v>699</v>
      </c>
      <c r="M17" s="397" t="s">
        <v>699</v>
      </c>
      <c r="N17" s="397" t="s">
        <v>699</v>
      </c>
      <c r="O17" s="397" t="s">
        <v>699</v>
      </c>
      <c r="P17" s="612"/>
      <c r="Q17" s="612"/>
      <c r="R17" s="612"/>
      <c r="S17" s="612"/>
      <c r="T17" s="612"/>
      <c r="X17" s="349"/>
      <c r="Y17" s="349"/>
      <c r="Z17" s="349"/>
      <c r="AA17" s="522"/>
    </row>
    <row r="18" spans="2:27" ht="20.149999999999999" customHeight="1" x14ac:dyDescent="0.35">
      <c r="C18" s="348"/>
      <c r="D18" s="361" t="str">
        <f>IF(D16=$G$136,"",IF(AND(D15=$G$125,OR(D16=$G$124,D17=$G$124)),"↑",""))</f>
        <v>↑</v>
      </c>
      <c r="E18" s="361" t="str">
        <f t="shared" ref="E18:O18" si="1">IF(E16=$G$136,"",IF(AND(E15=$G$125,OR(E16=$G$124,E17=$G$124)),"↑",""))</f>
        <v>↑</v>
      </c>
      <c r="F18" s="361" t="str">
        <f t="shared" si="1"/>
        <v>↑</v>
      </c>
      <c r="G18" s="361" t="str">
        <f t="shared" si="1"/>
        <v>↑</v>
      </c>
      <c r="H18" s="361" t="str">
        <f t="shared" si="1"/>
        <v/>
      </c>
      <c r="I18" s="361" t="str">
        <f t="shared" si="1"/>
        <v>↑</v>
      </c>
      <c r="J18" s="361" t="str">
        <f t="shared" si="1"/>
        <v/>
      </c>
      <c r="K18" s="361" t="str">
        <f t="shared" si="1"/>
        <v>↑</v>
      </c>
      <c r="L18" s="361" t="str">
        <f t="shared" si="1"/>
        <v/>
      </c>
      <c r="M18" s="361" t="str">
        <f t="shared" si="1"/>
        <v/>
      </c>
      <c r="N18" s="361" t="str">
        <f t="shared" si="1"/>
        <v/>
      </c>
      <c r="O18" s="361" t="str">
        <f t="shared" si="1"/>
        <v/>
      </c>
      <c r="P18" s="612"/>
      <c r="Q18" s="612"/>
      <c r="R18" s="612"/>
      <c r="S18" s="612"/>
      <c r="T18" s="612"/>
      <c r="X18" s="349"/>
      <c r="Y18" s="349"/>
      <c r="Z18" s="349"/>
      <c r="AA18" s="522"/>
    </row>
    <row r="19" spans="2:27" ht="15" customHeight="1" x14ac:dyDescent="0.35">
      <c r="B19" s="608" t="s">
        <v>871</v>
      </c>
      <c r="C19" s="458" t="s">
        <v>872</v>
      </c>
      <c r="D19" s="398" t="s">
        <v>699</v>
      </c>
      <c r="E19" s="398"/>
      <c r="F19" s="398" t="s">
        <v>699</v>
      </c>
      <c r="G19" s="398" t="s">
        <v>699</v>
      </c>
      <c r="H19" s="398" t="s">
        <v>699</v>
      </c>
      <c r="I19" s="398" t="s">
        <v>699</v>
      </c>
      <c r="J19" s="398" t="s">
        <v>699</v>
      </c>
      <c r="K19" s="398" t="s">
        <v>699</v>
      </c>
      <c r="L19" s="398" t="s">
        <v>699</v>
      </c>
      <c r="M19" s="398" t="s">
        <v>699</v>
      </c>
      <c r="N19" s="398" t="s">
        <v>699</v>
      </c>
      <c r="O19" s="398" t="s">
        <v>699</v>
      </c>
      <c r="P19" s="612"/>
      <c r="Q19" s="612"/>
      <c r="R19" s="612"/>
      <c r="S19" s="612"/>
      <c r="T19" s="612"/>
      <c r="X19" s="349"/>
      <c r="Y19" s="349"/>
      <c r="Z19" s="349"/>
    </row>
    <row r="20" spans="2:27" ht="15" customHeight="1" x14ac:dyDescent="0.35">
      <c r="B20" s="609"/>
      <c r="C20" s="458" t="s">
        <v>873</v>
      </c>
      <c r="D20" s="398"/>
      <c r="E20" s="398"/>
      <c r="F20" s="398"/>
      <c r="G20" s="398"/>
      <c r="H20" s="398"/>
      <c r="I20" s="398"/>
      <c r="J20" s="398"/>
      <c r="K20" s="398"/>
      <c r="L20" s="398"/>
      <c r="M20" s="398"/>
      <c r="N20" s="398"/>
      <c r="O20" s="398"/>
      <c r="P20" s="612"/>
      <c r="Q20" s="612"/>
      <c r="R20" s="612"/>
      <c r="S20" s="612"/>
      <c r="T20" s="612"/>
      <c r="X20" s="349"/>
      <c r="Y20" s="349"/>
      <c r="Z20" s="349"/>
    </row>
    <row r="21" spans="2:27" ht="15" customHeight="1" x14ac:dyDescent="0.35">
      <c r="B21" s="610"/>
      <c r="C21" s="458" t="s">
        <v>874</v>
      </c>
      <c r="D21" s="359" t="str">
        <f>IF(D19=$G$124,"-",IF(D17=$C$128,D19,IF(OR(D19=Wat01_option01,D19=Wat01_option02,D19=""),0,(D20/$D$51)*D19)))</f>
        <v>-</v>
      </c>
      <c r="E21" s="359">
        <f>IF(E19=$G$124,"-",IF(E17=$C$128,E19,IF(OR(E19=Wat01_option01,E19=Wat01_option02,E19=""),0,(E20/$E$51)*E19)))</f>
        <v>0</v>
      </c>
      <c r="F21" s="359" t="str">
        <f>IF(F19=$G$124,"-",IF(F17=$C$128,F19,IF(OR(F19=Wat01_option01,F19=Wat01_option02,F19=""),0,(F20/$F$51)*F19)))</f>
        <v>-</v>
      </c>
      <c r="G21" s="359" t="str">
        <f>IF(G19=$G$124,"-",IF(G17=$C$128,G19,IF(OR(G19=Wat01_option01,G19=Wat01_option02,G19=""),0,(G20/$G$51)*G19)))</f>
        <v>-</v>
      </c>
      <c r="H21" s="359" t="str">
        <f>IF(H19=$G$124,"-",IF(H17=$C$128,H19,IF(OR(H19=Wat01_option01,H19=Wat01_option02,H19=""),0,(H20/$H$51)*H19)))</f>
        <v>-</v>
      </c>
      <c r="I21" s="359" t="str">
        <f>IF(I19=$G$124,"-",IF(I17=$C$128,I19,IF(OR(I19=Wat01_option01,I19=Wat01_option02,I19=""),0,(I20/$I$51)*I19)))</f>
        <v>-</v>
      </c>
      <c r="J21" s="359" t="str">
        <f>IF(J19=$G$124,"-",IF(J17=$C$128,J19,IF(OR(J19=Wat01_option01,J19=Wat01_option02,J19=""),0,(J20/$J$51)*J19)))</f>
        <v>-</v>
      </c>
      <c r="K21" s="359" t="str">
        <f>IF(K19=$G$124,"-",IF(K17=$C$128,K19,IF(OR(K19=Wat01_option01,K19=Wat01_option02,K19=""),0,(K20/$K$51)*K19)))</f>
        <v>-</v>
      </c>
      <c r="L21" s="359" t="str">
        <f>IF(L19=$G$124,"-",IF(L17=$C$128,L19,IF(OR(L19=Wat01_option01,L19=Wat01_option02,L19=""),0,(L20/$L$51)*L19)))</f>
        <v>-</v>
      </c>
      <c r="M21" s="359" t="str">
        <f>IF(M19=$G$124,"-",IF(M17=$C$128,M19,IF(OR(M19=Wat01_option01,M19=Wat01_option02,M19=""),0,(M20/$M$51)*M19)))</f>
        <v>-</v>
      </c>
      <c r="N21" s="359" t="str">
        <f>IF(N19=$G$124,"-",IF(N17=$C$128,N19,IF(OR(N19=Wat01_option01,N19=Wat01_option02,N19=""),0,(N20/$N$51)*N19)))</f>
        <v>-</v>
      </c>
      <c r="O21" s="359" t="str">
        <f>IF(O19=$G$124,"-",IF(O17=$C$128,O19,IF(OR(O19=Wat01_option01,O19=Wat01_option02,O19=""),0,(O20/$O$51)*O19)))</f>
        <v>-</v>
      </c>
      <c r="P21" s="612"/>
      <c r="Q21" s="612"/>
      <c r="R21" s="612"/>
      <c r="S21" s="612"/>
      <c r="T21" s="612"/>
      <c r="X21" s="349"/>
      <c r="Y21" s="349"/>
      <c r="Z21" s="349"/>
    </row>
    <row r="22" spans="2:27" ht="20.149999999999999" customHeight="1" x14ac:dyDescent="0.35">
      <c r="C22" s="349"/>
      <c r="D22" s="361" t="str">
        <f>IF(OR(D$15=$G$126,D$16=$G$136),"",IF(D19=$G$124,"↑",IF(AND(D$17&gt;1,OR(D19=$G$124,D20="")),"↑","")))</f>
        <v>↑</v>
      </c>
      <c r="E22" s="361" t="str">
        <f>IF(OR(E15=$G$126,E16=$G$136),"",IF(E19=$G$124,"↑",IF(AND(E17&gt;1,OR(E19=$G$124,E20="")),"↑","")))</f>
        <v>↑</v>
      </c>
      <c r="F22" s="361" t="str">
        <f t="shared" ref="F22:O22" si="2">IF(OR(F15=$G$126,F16=$G$136),"",IF(F19=$G$124,"↑",IF(AND(F17&gt;1,OR(F19=$G$124,F20="")),"↑","")))</f>
        <v>↑</v>
      </c>
      <c r="G22" s="361" t="str">
        <f t="shared" si="2"/>
        <v>↑</v>
      </c>
      <c r="H22" s="361" t="str">
        <f t="shared" si="2"/>
        <v/>
      </c>
      <c r="I22" s="361" t="str">
        <f t="shared" si="2"/>
        <v>↑</v>
      </c>
      <c r="J22" s="361" t="str">
        <f t="shared" si="2"/>
        <v/>
      </c>
      <c r="K22" s="361" t="str">
        <f t="shared" si="2"/>
        <v>↑</v>
      </c>
      <c r="L22" s="361" t="str">
        <f t="shared" si="2"/>
        <v/>
      </c>
      <c r="M22" s="361" t="str">
        <f t="shared" si="2"/>
        <v/>
      </c>
      <c r="N22" s="361" t="str">
        <f t="shared" si="2"/>
        <v/>
      </c>
      <c r="O22" s="361" t="str">
        <f t="shared" si="2"/>
        <v/>
      </c>
      <c r="P22" s="612"/>
      <c r="Q22" s="612"/>
      <c r="R22" s="612"/>
      <c r="S22" s="612"/>
      <c r="T22" s="612"/>
      <c r="X22" s="349"/>
      <c r="Y22" s="349"/>
      <c r="Z22" s="349"/>
    </row>
    <row r="23" spans="2:27" ht="15" customHeight="1" x14ac:dyDescent="0.35">
      <c r="B23" s="608" t="s">
        <v>875</v>
      </c>
      <c r="C23" s="458" t="s">
        <v>876</v>
      </c>
      <c r="D23" s="398"/>
      <c r="E23" s="398" t="s">
        <v>699</v>
      </c>
      <c r="F23" s="398" t="s">
        <v>699</v>
      </c>
      <c r="G23" s="398" t="s">
        <v>699</v>
      </c>
      <c r="H23" s="398" t="s">
        <v>699</v>
      </c>
      <c r="I23" s="398" t="s">
        <v>699</v>
      </c>
      <c r="J23" s="398" t="s">
        <v>699</v>
      </c>
      <c r="K23" s="398" t="s">
        <v>699</v>
      </c>
      <c r="L23" s="398" t="s">
        <v>699</v>
      </c>
      <c r="M23" s="398" t="s">
        <v>699</v>
      </c>
      <c r="N23" s="398" t="s">
        <v>699</v>
      </c>
      <c r="O23" s="398" t="s">
        <v>699</v>
      </c>
      <c r="P23" s="612"/>
      <c r="Q23" s="612"/>
      <c r="R23" s="612"/>
      <c r="S23" s="612"/>
      <c r="T23" s="612"/>
      <c r="X23" s="349"/>
      <c r="Y23" s="349"/>
      <c r="Z23" s="349"/>
    </row>
    <row r="24" spans="2:27" ht="15" customHeight="1" x14ac:dyDescent="0.35">
      <c r="B24" s="609"/>
      <c r="C24" s="458" t="s">
        <v>877</v>
      </c>
      <c r="D24" s="398"/>
      <c r="E24" s="398"/>
      <c r="F24" s="398"/>
      <c r="G24" s="398"/>
      <c r="H24" s="398"/>
      <c r="I24" s="398"/>
      <c r="J24" s="398"/>
      <c r="K24" s="398"/>
      <c r="L24" s="398"/>
      <c r="M24" s="398"/>
      <c r="N24" s="398"/>
      <c r="O24" s="398"/>
      <c r="P24" s="612"/>
      <c r="Q24" s="612"/>
      <c r="R24" s="612"/>
      <c r="S24" s="612"/>
      <c r="T24" s="612"/>
      <c r="X24" s="349"/>
      <c r="Y24" s="349"/>
    </row>
    <row r="25" spans="2:27" ht="15" customHeight="1" x14ac:dyDescent="0.35">
      <c r="B25" s="610"/>
      <c r="C25" s="458" t="s">
        <v>878</v>
      </c>
      <c r="D25" s="359">
        <f>IF(OR(D23=Wat01_option01,D23=Wat01_option02,D23=""),0,(D24/$D$51)*D23)</f>
        <v>0</v>
      </c>
      <c r="E25" s="359">
        <f>IF(OR(E23=Wat01_option01,E23=Wat01_option02,E23=""),0,(E24/$E$51)*E23)</f>
        <v>0</v>
      </c>
      <c r="F25" s="359">
        <f>IF(OR(F23=Wat01_option01,F23=Wat01_option02,F23=""),0,(F24/$F$51)*F23)</f>
        <v>0</v>
      </c>
      <c r="G25" s="359">
        <f>IF(OR(G23=Wat01_option01,G23=Wat01_option02,G23=""),0,(G24/$G$51)*G23)</f>
        <v>0</v>
      </c>
      <c r="H25" s="359">
        <f>IF(OR(H23=Wat01_option01,H23=Wat01_option02,H23=""),0,(H24/$H$51)*H23)</f>
        <v>0</v>
      </c>
      <c r="I25" s="359">
        <f>IF(OR(I23=Wat01_option01,I23=Wat01_option02,I23=""),0,(I24/$I$51)*I23)</f>
        <v>0</v>
      </c>
      <c r="J25" s="359">
        <f>IF(OR(J23=Wat01_option01,J23=Wat01_option02,J23=""),0,(J24/$J$51)*J23)</f>
        <v>0</v>
      </c>
      <c r="K25" s="359">
        <f>IF(OR(K23=Wat01_option01,K23=Wat01_option02,K23=""),0,(K24/$K$51)*K23)</f>
        <v>0</v>
      </c>
      <c r="L25" s="359">
        <f>IF(OR(L23=Wat01_option01,L23=Wat01_option02,L23=""),0,(L24/$L$51)*L23)</f>
        <v>0</v>
      </c>
      <c r="M25" s="359">
        <f>IF(OR(M23=Wat01_option01,M23=Wat01_option02,M23=""),0,(M24/$M$51)*M23)</f>
        <v>0</v>
      </c>
      <c r="N25" s="359">
        <f>IF(OR(N23=Wat01_option01,N23=Wat01_option02,N23=""),0,(N24/$N$51)*N23)</f>
        <v>0</v>
      </c>
      <c r="O25" s="359">
        <f>IF(OR(O23=Wat01_option01,O23=Wat01_option02,O23=""),0,(O24/$O$51)*O23)</f>
        <v>0</v>
      </c>
      <c r="P25" s="612"/>
      <c r="Q25" s="612"/>
      <c r="R25" s="612"/>
      <c r="S25" s="612"/>
      <c r="T25" s="612"/>
      <c r="X25" s="349"/>
      <c r="Y25" s="349"/>
    </row>
    <row r="26" spans="2:27" ht="20.149999999999999" customHeight="1" x14ac:dyDescent="0.35">
      <c r="C26" s="348"/>
      <c r="D26" s="361" t="str">
        <f>IF(OR(D$15=$G$126,D$16=$G$136),"",IF(AND(D$17&gt;1,OR(D23=$G$124,D24="")),"↑",""))</f>
        <v>↑</v>
      </c>
      <c r="E26" s="361" t="str">
        <f t="shared" ref="E26:O26" si="3">IF(OR(E$15=$G$126,E$16=$G$136),"",IF(AND(E$17&gt;1,OR(E23=$G$124,E24="")),"↑",""))</f>
        <v>↑</v>
      </c>
      <c r="F26" s="361" t="str">
        <f t="shared" si="3"/>
        <v>↑</v>
      </c>
      <c r="G26" s="361" t="str">
        <f t="shared" si="3"/>
        <v>↑</v>
      </c>
      <c r="H26" s="361" t="str">
        <f t="shared" si="3"/>
        <v/>
      </c>
      <c r="I26" s="361" t="str">
        <f t="shared" si="3"/>
        <v>↑</v>
      </c>
      <c r="J26" s="361" t="str">
        <f t="shared" si="3"/>
        <v/>
      </c>
      <c r="K26" s="361" t="str">
        <f t="shared" si="3"/>
        <v>↑</v>
      </c>
      <c r="L26" s="361" t="str">
        <f t="shared" si="3"/>
        <v/>
      </c>
      <c r="M26" s="361" t="str">
        <f t="shared" si="3"/>
        <v/>
      </c>
      <c r="N26" s="361" t="str">
        <f>IF(OR(N$15=$G$126,N$16=$G$136),"",IF(AND(N$17&gt;1,OR(N23=$G$124,N24="")),"↑",""))</f>
        <v/>
      </c>
      <c r="O26" s="361" t="str">
        <f t="shared" si="3"/>
        <v/>
      </c>
      <c r="P26" s="349"/>
      <c r="R26" s="348"/>
      <c r="X26" s="349"/>
      <c r="Y26" s="349"/>
      <c r="Z26" s="349"/>
    </row>
    <row r="27" spans="2:27" ht="15" customHeight="1" x14ac:dyDescent="0.35">
      <c r="B27" s="608" t="s">
        <v>879</v>
      </c>
      <c r="C27" s="458" t="s">
        <v>880</v>
      </c>
      <c r="D27" s="398" t="s">
        <v>699</v>
      </c>
      <c r="E27" s="398" t="s">
        <v>699</v>
      </c>
      <c r="F27" s="398" t="s">
        <v>699</v>
      </c>
      <c r="G27" s="398" t="s">
        <v>699</v>
      </c>
      <c r="H27" s="398" t="s">
        <v>699</v>
      </c>
      <c r="I27" s="398" t="s">
        <v>699</v>
      </c>
      <c r="J27" s="398" t="s">
        <v>699</v>
      </c>
      <c r="K27" s="398" t="s">
        <v>699</v>
      </c>
      <c r="L27" s="398" t="s">
        <v>699</v>
      </c>
      <c r="M27" s="398" t="s">
        <v>699</v>
      </c>
      <c r="N27" s="398" t="s">
        <v>699</v>
      </c>
      <c r="O27" s="398" t="s">
        <v>699</v>
      </c>
      <c r="P27" s="349"/>
      <c r="R27" s="348"/>
      <c r="X27" s="349"/>
      <c r="Y27" s="349"/>
    </row>
    <row r="28" spans="2:27" ht="15" customHeight="1" x14ac:dyDescent="0.35">
      <c r="B28" s="609"/>
      <c r="C28" s="458" t="s">
        <v>881</v>
      </c>
      <c r="D28" s="398"/>
      <c r="E28" s="398"/>
      <c r="F28" s="398"/>
      <c r="G28" s="398"/>
      <c r="H28" s="398"/>
      <c r="I28" s="398"/>
      <c r="J28" s="398"/>
      <c r="K28" s="398"/>
      <c r="L28" s="398"/>
      <c r="M28" s="398"/>
      <c r="N28" s="398"/>
      <c r="O28" s="398"/>
      <c r="P28" s="349"/>
      <c r="R28" s="348"/>
      <c r="X28" s="349"/>
      <c r="Y28" s="360"/>
    </row>
    <row r="29" spans="2:27" ht="15" customHeight="1" x14ac:dyDescent="0.35">
      <c r="B29" s="610"/>
      <c r="C29" s="458" t="s">
        <v>882</v>
      </c>
      <c r="D29" s="359">
        <f>IF(OR(D27=Wat01_option01,D27=Wat01_option02,D27=""),0,(D28/$D$51)*D27)</f>
        <v>0</v>
      </c>
      <c r="E29" s="359">
        <f>IF(OR(E27=Wat01_option01,E27=Wat01_option02,E27=""),0,(E28/$E$51)*E27)</f>
        <v>0</v>
      </c>
      <c r="F29" s="359">
        <f>IF(OR(F27=Wat01_option01,F27=Wat01_option02,F27=""),0,(F28/$F$51)*F27)</f>
        <v>0</v>
      </c>
      <c r="G29" s="359">
        <f>IF(OR(G27=Wat01_option01,G27=Wat01_option02,G27=""),0,(G28/$G$51)*G27)</f>
        <v>0</v>
      </c>
      <c r="H29" s="359">
        <f>IF(OR(H27=Wat01_option01,H27=Wat01_option02,H27=""),0,(H28/$H$51)*H27)</f>
        <v>0</v>
      </c>
      <c r="I29" s="359">
        <f>IF(OR(I27=Wat01_option01,I27=Wat01_option02,I27=""),0,(I28/$I$51)*I27)</f>
        <v>0</v>
      </c>
      <c r="J29" s="359">
        <f>IF(OR(J27=Wat01_option01,J27=Wat01_option02,J27=""),0,(J28/$J$51)*J27)</f>
        <v>0</v>
      </c>
      <c r="K29" s="359">
        <f>IF(OR(K27=Wat01_option01,K27=Wat01_option02,K27=""),0,(K28/$K$51)*K27)</f>
        <v>0</v>
      </c>
      <c r="L29" s="359">
        <f>IF(OR(L27=Wat01_option01,L27=Wat01_option02,L27=""),0,(L28/$L$51)*L27)</f>
        <v>0</v>
      </c>
      <c r="M29" s="359">
        <f>IF(OR(M27=Wat01_option01,M27=Wat01_option02,M27=""),0,(M28/$M$51)*M27)</f>
        <v>0</v>
      </c>
      <c r="N29" s="359">
        <f>IF(OR(N27=Wat01_option01,N27=Wat01_option02,N27=""),0,(N28/$N$51)*N27)</f>
        <v>0</v>
      </c>
      <c r="O29" s="359">
        <f>IF(OR(O27=Wat01_option01,O27=Wat01_option02,O27=""),0,(O28/$O$51)*O27)</f>
        <v>0</v>
      </c>
      <c r="P29" s="349"/>
      <c r="R29" s="348"/>
      <c r="X29" s="349"/>
      <c r="Y29" s="360"/>
    </row>
    <row r="30" spans="2:27" ht="20.149999999999999" customHeight="1" x14ac:dyDescent="0.35">
      <c r="C30" s="348"/>
      <c r="D30" s="361" t="str">
        <f>IF(OR(D$15=$G$126,D$16=$G$136),"",IF(AND(D$17&gt;2,OR(D27=$G$124,D28="")),"↑",""))</f>
        <v>↑</v>
      </c>
      <c r="E30" s="361" t="str">
        <f t="shared" ref="E30:O30" si="4">IF(OR(E$15=$G$126,E$16=$G$136),"",IF(AND(E$17&gt;2,OR(E27=$G$124,E28="")),"↑",""))</f>
        <v>↑</v>
      </c>
      <c r="F30" s="361" t="str">
        <f t="shared" si="4"/>
        <v>↑</v>
      </c>
      <c r="G30" s="361" t="str">
        <f t="shared" si="4"/>
        <v>↑</v>
      </c>
      <c r="H30" s="361" t="str">
        <f t="shared" si="4"/>
        <v/>
      </c>
      <c r="I30" s="361" t="str">
        <f t="shared" si="4"/>
        <v>↑</v>
      </c>
      <c r="J30" s="361" t="str">
        <f t="shared" si="4"/>
        <v/>
      </c>
      <c r="K30" s="361" t="str">
        <f t="shared" si="4"/>
        <v>↑</v>
      </c>
      <c r="L30" s="361" t="str">
        <f t="shared" si="4"/>
        <v/>
      </c>
      <c r="M30" s="361" t="str">
        <f t="shared" si="4"/>
        <v/>
      </c>
      <c r="N30" s="361" t="str">
        <f t="shared" si="4"/>
        <v/>
      </c>
      <c r="O30" s="361" t="str">
        <f t="shared" si="4"/>
        <v/>
      </c>
      <c r="P30" s="349"/>
      <c r="R30" s="348"/>
      <c r="X30" s="349"/>
    </row>
    <row r="31" spans="2:27" ht="15" customHeight="1" x14ac:dyDescent="0.35">
      <c r="B31" s="608" t="s">
        <v>883</v>
      </c>
      <c r="C31" s="458" t="s">
        <v>884</v>
      </c>
      <c r="D31" s="398" t="s">
        <v>699</v>
      </c>
      <c r="E31" s="398" t="s">
        <v>699</v>
      </c>
      <c r="F31" s="398" t="s">
        <v>699</v>
      </c>
      <c r="G31" s="398" t="s">
        <v>699</v>
      </c>
      <c r="H31" s="398" t="s">
        <v>699</v>
      </c>
      <c r="I31" s="398" t="s">
        <v>699</v>
      </c>
      <c r="J31" s="398" t="s">
        <v>699</v>
      </c>
      <c r="K31" s="398" t="s">
        <v>699</v>
      </c>
      <c r="L31" s="398" t="s">
        <v>699</v>
      </c>
      <c r="M31" s="398" t="s">
        <v>699</v>
      </c>
      <c r="N31" s="398" t="s">
        <v>699</v>
      </c>
      <c r="O31" s="398" t="s">
        <v>699</v>
      </c>
      <c r="P31" s="349"/>
      <c r="R31" s="348"/>
      <c r="X31" s="349"/>
    </row>
    <row r="32" spans="2:27" ht="15" customHeight="1" x14ac:dyDescent="0.35">
      <c r="B32" s="609"/>
      <c r="C32" s="458" t="s">
        <v>885</v>
      </c>
      <c r="D32" s="398"/>
      <c r="E32" s="398"/>
      <c r="F32" s="398"/>
      <c r="G32" s="398"/>
      <c r="H32" s="398"/>
      <c r="I32" s="398"/>
      <c r="J32" s="398"/>
      <c r="K32" s="398"/>
      <c r="L32" s="398"/>
      <c r="M32" s="398"/>
      <c r="N32" s="398"/>
      <c r="O32" s="398"/>
      <c r="P32" s="349"/>
      <c r="R32" s="348"/>
      <c r="X32" s="349"/>
    </row>
    <row r="33" spans="2:24" ht="15" customHeight="1" x14ac:dyDescent="0.35">
      <c r="B33" s="610"/>
      <c r="C33" s="458" t="s">
        <v>886</v>
      </c>
      <c r="D33" s="359">
        <f>IF(OR(D31=Wat01_option01,D31=Wat01_option02,D31=""),0,(D32/$D$51)*D31)</f>
        <v>0</v>
      </c>
      <c r="E33" s="359">
        <f>IF(OR(E31=Wat01_option01,E31=Wat01_option02,E31=""),0,(E32/$E$51)*E31)</f>
        <v>0</v>
      </c>
      <c r="F33" s="359">
        <f>IF(OR(F31=Wat01_option01,F31=Wat01_option02,F31=""),0,(F32/$F$51)*F31)</f>
        <v>0</v>
      </c>
      <c r="G33" s="359">
        <f>IF(OR(G31=Wat01_option01,G31=Wat01_option02,G31=""),0,(G32/$G$51)*G31)</f>
        <v>0</v>
      </c>
      <c r="H33" s="359">
        <f>IF(OR(H31=Wat01_option01,H31=Wat01_option02,H31=""),0,(H32/$H$51)*H31)</f>
        <v>0</v>
      </c>
      <c r="I33" s="359">
        <f>IF(OR(I31=Wat01_option01,I31=Wat01_option02,I31=""),0,(I32/$I$51)*I31)</f>
        <v>0</v>
      </c>
      <c r="J33" s="359">
        <f>IF(OR(J31=Wat01_option01,J31=Wat01_option02,J31=""),0,(J32/$J$51)*J31)</f>
        <v>0</v>
      </c>
      <c r="K33" s="359">
        <f>IF(OR(K31=Wat01_option01,K31=Wat01_option02,K31=""),0,(K32/$K$51)*K31)</f>
        <v>0</v>
      </c>
      <c r="L33" s="359">
        <f>IF(OR(L31=Wat01_option01,L31=Wat01_option02,L31=""),0,(L32/$L$51)*L31)</f>
        <v>0</v>
      </c>
      <c r="M33" s="359">
        <f>IF(OR(M31=Wat01_option01,M31=Wat01_option02,M31=""),0,(M32/$M$51)*M31)</f>
        <v>0</v>
      </c>
      <c r="N33" s="359">
        <f>IF(OR(N31=Wat01_option01,N31=Wat01_option02,N31=""),0,(N32/$N$51)*N31)</f>
        <v>0</v>
      </c>
      <c r="O33" s="359">
        <f>IF(OR(O31=Wat01_option01,O31=Wat01_option02,O31=""),0,(O32/$O$51)*O31)</f>
        <v>0</v>
      </c>
      <c r="P33" s="349"/>
      <c r="R33" s="348"/>
      <c r="X33" s="349"/>
    </row>
    <row r="34" spans="2:24" ht="20.149999999999999" customHeight="1" x14ac:dyDescent="0.35">
      <c r="C34" s="348"/>
      <c r="D34" s="361" t="str">
        <f>IF(OR(D$15=$G$126,D$16=$G$136),"",IF(AND(D$17&gt;3,OR(D31=$G$124,D32="")),"↑",""))</f>
        <v>↑</v>
      </c>
      <c r="E34" s="361" t="str">
        <f t="shared" ref="E34:O34" si="5">IF(OR(E$15=$G$126,E$16=$G$136),"",IF(AND(E$17&gt;3,OR(E31=$G$124,E32="")),"↑",""))</f>
        <v>↑</v>
      </c>
      <c r="F34" s="361" t="str">
        <f t="shared" si="5"/>
        <v>↑</v>
      </c>
      <c r="G34" s="361" t="str">
        <f t="shared" si="5"/>
        <v>↑</v>
      </c>
      <c r="H34" s="361" t="str">
        <f t="shared" si="5"/>
        <v/>
      </c>
      <c r="I34" s="361" t="str">
        <f t="shared" si="5"/>
        <v>↑</v>
      </c>
      <c r="J34" s="361" t="str">
        <f t="shared" si="5"/>
        <v/>
      </c>
      <c r="K34" s="361" t="str">
        <f t="shared" si="5"/>
        <v>↑</v>
      </c>
      <c r="L34" s="361" t="str">
        <f t="shared" si="5"/>
        <v/>
      </c>
      <c r="M34" s="361" t="str">
        <f t="shared" si="5"/>
        <v/>
      </c>
      <c r="N34" s="361" t="str">
        <f t="shared" si="5"/>
        <v/>
      </c>
      <c r="O34" s="361" t="str">
        <f t="shared" si="5"/>
        <v/>
      </c>
      <c r="P34" s="349"/>
      <c r="R34" s="348"/>
      <c r="X34" s="349"/>
    </row>
    <row r="35" spans="2:24" ht="15" customHeight="1" x14ac:dyDescent="0.35">
      <c r="B35" s="608" t="s">
        <v>887</v>
      </c>
      <c r="C35" s="458" t="s">
        <v>888</v>
      </c>
      <c r="D35" s="398" t="s">
        <v>699</v>
      </c>
      <c r="E35" s="398" t="s">
        <v>699</v>
      </c>
      <c r="F35" s="398" t="s">
        <v>699</v>
      </c>
      <c r="G35" s="398" t="s">
        <v>699</v>
      </c>
      <c r="H35" s="398" t="s">
        <v>699</v>
      </c>
      <c r="I35" s="398" t="s">
        <v>699</v>
      </c>
      <c r="J35" s="398" t="s">
        <v>699</v>
      </c>
      <c r="K35" s="398" t="s">
        <v>699</v>
      </c>
      <c r="L35" s="398" t="s">
        <v>699</v>
      </c>
      <c r="M35" s="398" t="s">
        <v>699</v>
      </c>
      <c r="N35" s="398" t="s">
        <v>699</v>
      </c>
      <c r="O35" s="398" t="s">
        <v>699</v>
      </c>
      <c r="P35" s="349"/>
      <c r="R35" s="348"/>
      <c r="X35" s="349"/>
    </row>
    <row r="36" spans="2:24" ht="15" customHeight="1" x14ac:dyDescent="0.35">
      <c r="B36" s="609"/>
      <c r="C36" s="458" t="s">
        <v>889</v>
      </c>
      <c r="D36" s="398"/>
      <c r="E36" s="398"/>
      <c r="F36" s="398"/>
      <c r="G36" s="398"/>
      <c r="H36" s="398"/>
      <c r="I36" s="398"/>
      <c r="J36" s="398"/>
      <c r="K36" s="398"/>
      <c r="L36" s="398"/>
      <c r="M36" s="398"/>
      <c r="N36" s="398"/>
      <c r="O36" s="398"/>
      <c r="P36" s="349"/>
      <c r="R36" s="348"/>
      <c r="X36" s="349"/>
    </row>
    <row r="37" spans="2:24" ht="15" customHeight="1" x14ac:dyDescent="0.35">
      <c r="B37" s="610"/>
      <c r="C37" s="458" t="s">
        <v>890</v>
      </c>
      <c r="D37" s="359">
        <f>IF(OR(D35=Wat01_option01,D35=Wat01_option02,D35=""),0,(D36/$D$51)*D35)</f>
        <v>0</v>
      </c>
      <c r="E37" s="359">
        <f>IF(OR(E35=Wat01_option01,E35=Wat01_option02,E35=""),0,(E36/$E$51)*E35)</f>
        <v>0</v>
      </c>
      <c r="F37" s="359">
        <f>IF(OR(F35=Wat01_option01,F35=Wat01_option02,F35=""),0,(F36/$F$51)*F35)</f>
        <v>0</v>
      </c>
      <c r="G37" s="359">
        <f>IF(OR(G35=Wat01_option01,G35=Wat01_option02,G35=""),0,(G36/$G$51)*G35)</f>
        <v>0</v>
      </c>
      <c r="H37" s="359">
        <f>IF(OR(H35=Wat01_option01,H35=Wat01_option02,H35=""),0,(H36/$H$51)*H35)</f>
        <v>0</v>
      </c>
      <c r="I37" s="359">
        <f>IF(OR(I35=Wat01_option01,I35=Wat01_option02,I35=""),0,(I36/$I$51)*I35)</f>
        <v>0</v>
      </c>
      <c r="J37" s="359">
        <f>IF(OR(J35=Wat01_option01,J35=Wat01_option02,J35=""),0,(J36/$J$51)*J35)</f>
        <v>0</v>
      </c>
      <c r="K37" s="359">
        <f>IF(OR(K35=Wat01_option01,K35=Wat01_option02,K35=""),0,(K36/$K$51)*K35)</f>
        <v>0</v>
      </c>
      <c r="L37" s="359">
        <f>IF(OR(L35=Wat01_option01,L35=Wat01_option02,L35=""),0,(L36/$L$51)*L35)</f>
        <v>0</v>
      </c>
      <c r="M37" s="359">
        <f>IF(OR(M35=Wat01_option01,M35=Wat01_option02,M35=""),0,(M36/$M$51)*M35)</f>
        <v>0</v>
      </c>
      <c r="N37" s="359">
        <f>IF(OR(N35=Wat01_option01,N35=Wat01_option02,N35=""),0,(N36/$N$51)*N35)</f>
        <v>0</v>
      </c>
      <c r="O37" s="359">
        <f>IF(OR(O35=Wat01_option01,O35=Wat01_option02,O35=""),0,(O36/$O$51)*O35)</f>
        <v>0</v>
      </c>
      <c r="P37" s="349"/>
      <c r="R37" s="348"/>
      <c r="X37" s="349"/>
    </row>
    <row r="38" spans="2:24" ht="20.149999999999999" customHeight="1" x14ac:dyDescent="0.35">
      <c r="C38" s="348"/>
      <c r="D38" s="361" t="str">
        <f>IF(OR(D$15=$G$126,D$16=$G$136),"",IF(AND(D$17&gt;4,OR(D35=$G$124,D36="")),"↑",""))</f>
        <v>↑</v>
      </c>
      <c r="E38" s="361" t="str">
        <f t="shared" ref="E38:O38" si="6">IF(OR(E$15=$G$126,E$16=$G$136),"",IF(AND(E$17&gt;4,OR(E35=$G$124,E36="")),"↑",""))</f>
        <v>↑</v>
      </c>
      <c r="F38" s="361" t="str">
        <f t="shared" si="6"/>
        <v>↑</v>
      </c>
      <c r="G38" s="361" t="str">
        <f t="shared" si="6"/>
        <v>↑</v>
      </c>
      <c r="H38" s="361" t="str">
        <f t="shared" si="6"/>
        <v/>
      </c>
      <c r="I38" s="361" t="str">
        <f t="shared" si="6"/>
        <v>↑</v>
      </c>
      <c r="J38" s="361" t="str">
        <f t="shared" si="6"/>
        <v/>
      </c>
      <c r="K38" s="361" t="str">
        <f t="shared" si="6"/>
        <v>↑</v>
      </c>
      <c r="L38" s="361" t="str">
        <f t="shared" si="6"/>
        <v/>
      </c>
      <c r="M38" s="361" t="str">
        <f t="shared" si="6"/>
        <v/>
      </c>
      <c r="N38" s="361" t="str">
        <f t="shared" si="6"/>
        <v/>
      </c>
      <c r="O38" s="361" t="str">
        <f t="shared" si="6"/>
        <v/>
      </c>
      <c r="P38" s="349"/>
      <c r="R38" s="348"/>
      <c r="X38" s="349"/>
    </row>
    <row r="39" spans="2:24" ht="15" customHeight="1" x14ac:dyDescent="0.35">
      <c r="B39" s="608" t="s">
        <v>891</v>
      </c>
      <c r="C39" s="458" t="s">
        <v>892</v>
      </c>
      <c r="D39" s="398" t="s">
        <v>699</v>
      </c>
      <c r="E39" s="398" t="s">
        <v>699</v>
      </c>
      <c r="F39" s="398" t="s">
        <v>699</v>
      </c>
      <c r="G39" s="398" t="s">
        <v>699</v>
      </c>
      <c r="H39" s="398" t="s">
        <v>699</v>
      </c>
      <c r="I39" s="398" t="s">
        <v>699</v>
      </c>
      <c r="J39" s="398" t="s">
        <v>699</v>
      </c>
      <c r="K39" s="398" t="s">
        <v>699</v>
      </c>
      <c r="L39" s="398" t="s">
        <v>699</v>
      </c>
      <c r="M39" s="398" t="s">
        <v>699</v>
      </c>
      <c r="N39" s="398" t="s">
        <v>699</v>
      </c>
      <c r="O39" s="398" t="s">
        <v>699</v>
      </c>
      <c r="P39" s="349"/>
      <c r="R39" s="348"/>
      <c r="X39" s="349"/>
    </row>
    <row r="40" spans="2:24" ht="15" customHeight="1" x14ac:dyDescent="0.35">
      <c r="B40" s="609"/>
      <c r="C40" s="458" t="s">
        <v>893</v>
      </c>
      <c r="D40" s="398"/>
      <c r="E40" s="398"/>
      <c r="F40" s="398"/>
      <c r="G40" s="398"/>
      <c r="H40" s="398"/>
      <c r="I40" s="398"/>
      <c r="J40" s="398"/>
      <c r="K40" s="398"/>
      <c r="L40" s="398"/>
      <c r="M40" s="398"/>
      <c r="N40" s="398"/>
      <c r="O40" s="398"/>
      <c r="P40" s="349"/>
      <c r="R40" s="348"/>
      <c r="X40" s="349"/>
    </row>
    <row r="41" spans="2:24" ht="15" customHeight="1" x14ac:dyDescent="0.35">
      <c r="B41" s="610"/>
      <c r="C41" s="458" t="s">
        <v>894</v>
      </c>
      <c r="D41" s="359">
        <f>IF(OR(D39=Wat01_option01,D39=Wat01_option02,D39=""),0,(D40/$D$51)*D39)</f>
        <v>0</v>
      </c>
      <c r="E41" s="359">
        <f>IF(OR(E39=Wat01_option01,E39=Wat01_option02,E39=""),0,(E40/$E$51)*E39)</f>
        <v>0</v>
      </c>
      <c r="F41" s="359">
        <f>IF(OR(F39=Wat01_option01,F39=Wat01_option02,F39=""),0,(F40/$F$51)*F39)</f>
        <v>0</v>
      </c>
      <c r="G41" s="359">
        <f>IF(OR(G39=Wat01_option01,G39=Wat01_option02,G39=""),0,(G40/$G$51)*G39)</f>
        <v>0</v>
      </c>
      <c r="H41" s="359">
        <f>IF(OR(H39=Wat01_option01,H39=Wat01_option02,H39=""),0,(H40/$H$51)*H39)</f>
        <v>0</v>
      </c>
      <c r="I41" s="359">
        <f>IF(OR(I39=Wat01_option01,I39=Wat01_option02,I39=""),0,(I40/$I$51)*I39)</f>
        <v>0</v>
      </c>
      <c r="J41" s="359">
        <f>IF(OR(J39=Wat01_option01,J39=Wat01_option02,J39=""),0,(J40/$J$51)*J39)</f>
        <v>0</v>
      </c>
      <c r="K41" s="359">
        <f>IF(OR(K39=Wat01_option01,K39=Wat01_option02,K39=""),0,(K40/$K$51)*K39)</f>
        <v>0</v>
      </c>
      <c r="L41" s="359">
        <f>IF(OR(L39=Wat01_option01,L39=Wat01_option02,L39=""),0,(L40/$L$51)*L39)</f>
        <v>0</v>
      </c>
      <c r="M41" s="359">
        <f>IF(OR(M39=Wat01_option01,M39=Wat01_option02,M39=""),0,(M40/$M$51)*M39)</f>
        <v>0</v>
      </c>
      <c r="N41" s="359">
        <f>IF(OR(N39=Wat01_option01,N39=Wat01_option02,N39=""),0,(N40/$N$51)*N39)</f>
        <v>0</v>
      </c>
      <c r="O41" s="359">
        <f>IF(OR(O39=Wat01_option01,O39=Wat01_option02,O39=""),0,(O40/$O$51)*O39)</f>
        <v>0</v>
      </c>
      <c r="P41" s="349"/>
      <c r="R41" s="348"/>
      <c r="X41" s="349"/>
    </row>
    <row r="42" spans="2:24" ht="20.149999999999999" customHeight="1" x14ac:dyDescent="0.35">
      <c r="C42" s="348"/>
      <c r="D42" s="361" t="str">
        <f>IF(OR(D$15=$G$126,D$16=$G$136),"",IF(AND(D$17&gt;5,OR(D39=$G$124,D40="")),"↑",""))</f>
        <v>↑</v>
      </c>
      <c r="E42" s="361" t="str">
        <f t="shared" ref="E42:O42" si="7">IF(OR(E$15=$G$126,E$16=$G$136),"",IF(AND(E$17&gt;5,OR(E39=$G$124,E40="")),"↑",""))</f>
        <v>↑</v>
      </c>
      <c r="F42" s="361" t="str">
        <f t="shared" si="7"/>
        <v>↑</v>
      </c>
      <c r="G42" s="361" t="str">
        <f t="shared" si="7"/>
        <v>↑</v>
      </c>
      <c r="H42" s="361" t="str">
        <f t="shared" si="7"/>
        <v/>
      </c>
      <c r="I42" s="361" t="str">
        <f t="shared" si="7"/>
        <v>↑</v>
      </c>
      <c r="J42" s="361" t="str">
        <f t="shared" si="7"/>
        <v/>
      </c>
      <c r="K42" s="361" t="str">
        <f t="shared" si="7"/>
        <v>↑</v>
      </c>
      <c r="L42" s="361" t="str">
        <f t="shared" si="7"/>
        <v/>
      </c>
      <c r="M42" s="361" t="str">
        <f t="shared" si="7"/>
        <v/>
      </c>
      <c r="N42" s="361" t="str">
        <f t="shared" si="7"/>
        <v/>
      </c>
      <c r="O42" s="361" t="str">
        <f t="shared" si="7"/>
        <v/>
      </c>
      <c r="P42" s="349"/>
      <c r="R42" s="348"/>
      <c r="X42" s="349"/>
    </row>
    <row r="43" spans="2:24" ht="15" customHeight="1" x14ac:dyDescent="0.35">
      <c r="B43" s="608" t="s">
        <v>895</v>
      </c>
      <c r="C43" s="458" t="s">
        <v>896</v>
      </c>
      <c r="D43" s="398" t="s">
        <v>699</v>
      </c>
      <c r="E43" s="398" t="s">
        <v>699</v>
      </c>
      <c r="F43" s="398" t="s">
        <v>699</v>
      </c>
      <c r="G43" s="398" t="s">
        <v>699</v>
      </c>
      <c r="H43" s="398" t="s">
        <v>699</v>
      </c>
      <c r="I43" s="398" t="s">
        <v>699</v>
      </c>
      <c r="J43" s="398" t="s">
        <v>699</v>
      </c>
      <c r="K43" s="398" t="s">
        <v>699</v>
      </c>
      <c r="L43" s="398" t="s">
        <v>699</v>
      </c>
      <c r="M43" s="398" t="s">
        <v>699</v>
      </c>
      <c r="N43" s="398" t="s">
        <v>699</v>
      </c>
      <c r="O43" s="398" t="s">
        <v>699</v>
      </c>
      <c r="P43" s="349"/>
      <c r="R43" s="348"/>
      <c r="X43" s="349"/>
    </row>
    <row r="44" spans="2:24" ht="15" customHeight="1" x14ac:dyDescent="0.35">
      <c r="B44" s="609"/>
      <c r="C44" s="458" t="s">
        <v>897</v>
      </c>
      <c r="D44" s="398"/>
      <c r="E44" s="398"/>
      <c r="F44" s="398"/>
      <c r="G44" s="398"/>
      <c r="H44" s="398"/>
      <c r="I44" s="398"/>
      <c r="J44" s="398"/>
      <c r="K44" s="398"/>
      <c r="L44" s="398"/>
      <c r="M44" s="398"/>
      <c r="N44" s="398"/>
      <c r="O44" s="398"/>
      <c r="P44" s="349"/>
      <c r="R44" s="348"/>
      <c r="X44" s="349"/>
    </row>
    <row r="45" spans="2:24" ht="15" customHeight="1" x14ac:dyDescent="0.35">
      <c r="B45" s="610"/>
      <c r="C45" s="458" t="s">
        <v>898</v>
      </c>
      <c r="D45" s="359">
        <f>IF(OR(D43=Wat01_option01,D43=Wat01_option02,D43=""),0,(D44/$D$51)*D43)</f>
        <v>0</v>
      </c>
      <c r="E45" s="359">
        <f>IF(OR(E43=Wat01_option01,E43=Wat01_option02,E43=""),0,(E44/$E$51)*E43)</f>
        <v>0</v>
      </c>
      <c r="F45" s="359">
        <f>IF(OR(F43=Wat01_option01,F43=Wat01_option02,F43=""),0,(F44/$F$51)*F43)</f>
        <v>0</v>
      </c>
      <c r="G45" s="359">
        <f>IF(OR(G43=Wat01_option01,G43=Wat01_option02,G43=""),0,(G44/$G$51)*G43)</f>
        <v>0</v>
      </c>
      <c r="H45" s="359">
        <f>IF(OR(H43=Wat01_option01,H43=Wat01_option02,H43=""),0,(H44/$H$51)*H43)</f>
        <v>0</v>
      </c>
      <c r="I45" s="359">
        <f>IF(OR(I43=Wat01_option01,I43=Wat01_option02,I43=""),0,(I44/$I$51)*I43)</f>
        <v>0</v>
      </c>
      <c r="J45" s="359">
        <f>IF(OR(J43=Wat01_option01,J43=Wat01_option02,J43=""),0,(J44/$J$51)*J43)</f>
        <v>0</v>
      </c>
      <c r="K45" s="359">
        <f>IF(OR(K43=Wat01_option01,K43=Wat01_option02,K43=""),0,(K44/$K$51)*K43)</f>
        <v>0</v>
      </c>
      <c r="L45" s="359">
        <f>IF(OR(L43=Wat01_option01,L43=Wat01_option02,L43=""),0,(L44/$L$51)*L43)</f>
        <v>0</v>
      </c>
      <c r="M45" s="359">
        <f>IF(OR(M43=Wat01_option01,M43=Wat01_option02,M43=""),0,(M44/$M$51)*M43)</f>
        <v>0</v>
      </c>
      <c r="N45" s="359">
        <f>IF(OR(N43=Wat01_option01,N43=Wat01_option02,N43=""),0,(N44/$N$51)*N43)</f>
        <v>0</v>
      </c>
      <c r="O45" s="359">
        <f>IF(OR(O43=Wat01_option01,O43=Wat01_option02,O43=""),0,(O44/$O$51)*O43)</f>
        <v>0</v>
      </c>
      <c r="P45" s="349"/>
      <c r="R45" s="348"/>
      <c r="X45" s="349"/>
    </row>
    <row r="46" spans="2:24" ht="20.149999999999999" customHeight="1" x14ac:dyDescent="0.35">
      <c r="C46" s="348"/>
      <c r="D46" s="361" t="str">
        <f>IF(OR(D$15=$G$126,D$16=$G$136),"",IF(AND(D$17&gt;7,OR(D43=$G$124,D44="")),"↑",""))</f>
        <v>↑</v>
      </c>
      <c r="E46" s="361" t="str">
        <f t="shared" ref="E46:O46" si="8">IF(OR(E$15=$G$126,E$16=$G$136),"",IF(AND(E$17&gt;7,OR(E43=$G$124,E44="")),"↑",""))</f>
        <v>↑</v>
      </c>
      <c r="F46" s="361" t="str">
        <f t="shared" si="8"/>
        <v>↑</v>
      </c>
      <c r="G46" s="361" t="str">
        <f t="shared" si="8"/>
        <v>↑</v>
      </c>
      <c r="H46" s="361" t="str">
        <f t="shared" si="8"/>
        <v/>
      </c>
      <c r="I46" s="361" t="str">
        <f t="shared" si="8"/>
        <v>↑</v>
      </c>
      <c r="J46" s="361" t="str">
        <f t="shared" si="8"/>
        <v/>
      </c>
      <c r="K46" s="361" t="str">
        <f t="shared" si="8"/>
        <v>↑</v>
      </c>
      <c r="L46" s="361" t="str">
        <f t="shared" si="8"/>
        <v/>
      </c>
      <c r="M46" s="361" t="str">
        <f t="shared" si="8"/>
        <v/>
      </c>
      <c r="N46" s="361" t="str">
        <f t="shared" si="8"/>
        <v/>
      </c>
      <c r="O46" s="361" t="str">
        <f t="shared" si="8"/>
        <v/>
      </c>
      <c r="P46" s="349"/>
      <c r="R46" s="348"/>
      <c r="X46" s="349"/>
    </row>
    <row r="47" spans="2:24" ht="15" customHeight="1" x14ac:dyDescent="0.35">
      <c r="B47" s="608" t="s">
        <v>899</v>
      </c>
      <c r="C47" s="458" t="s">
        <v>900</v>
      </c>
      <c r="D47" s="398" t="s">
        <v>699</v>
      </c>
      <c r="E47" s="398" t="s">
        <v>699</v>
      </c>
      <c r="F47" s="398" t="s">
        <v>699</v>
      </c>
      <c r="G47" s="398" t="s">
        <v>699</v>
      </c>
      <c r="H47" s="398" t="s">
        <v>699</v>
      </c>
      <c r="I47" s="398" t="s">
        <v>699</v>
      </c>
      <c r="J47" s="398" t="s">
        <v>699</v>
      </c>
      <c r="K47" s="398" t="s">
        <v>699</v>
      </c>
      <c r="L47" s="398" t="s">
        <v>699</v>
      </c>
      <c r="M47" s="398" t="s">
        <v>699</v>
      </c>
      <c r="N47" s="398" t="s">
        <v>699</v>
      </c>
      <c r="O47" s="398" t="s">
        <v>699</v>
      </c>
      <c r="P47" s="349"/>
      <c r="R47" s="348"/>
      <c r="X47" s="349"/>
    </row>
    <row r="48" spans="2:24" ht="15" customHeight="1" x14ac:dyDescent="0.35">
      <c r="B48" s="609"/>
      <c r="C48" s="458" t="s">
        <v>901</v>
      </c>
      <c r="D48" s="398"/>
      <c r="E48" s="398"/>
      <c r="F48" s="398"/>
      <c r="G48" s="398"/>
      <c r="H48" s="398"/>
      <c r="I48" s="398"/>
      <c r="J48" s="398"/>
      <c r="K48" s="398"/>
      <c r="L48" s="398"/>
      <c r="M48" s="398"/>
      <c r="N48" s="398"/>
      <c r="O48" s="398"/>
      <c r="P48" s="349"/>
      <c r="R48" s="348"/>
      <c r="X48" s="349"/>
    </row>
    <row r="49" spans="1:24" ht="15" customHeight="1" x14ac:dyDescent="0.35">
      <c r="B49" s="610"/>
      <c r="C49" s="458" t="s">
        <v>902</v>
      </c>
      <c r="D49" s="359">
        <f>IF(OR(D47=Wat01_option01,D47=Wat01_option02,D47=""),0,(D48/$D$51)*D47)</f>
        <v>0</v>
      </c>
      <c r="E49" s="359">
        <f>IF(OR(E47=Wat01_option01,E47=Wat01_option02,E47=""),0,(E48/$E$51)*E47)</f>
        <v>0</v>
      </c>
      <c r="F49" s="359">
        <f>IF(OR(F47=Wat01_option01,F47=Wat01_option02,F47=""),0,(F48/$F$51)*F47)</f>
        <v>0</v>
      </c>
      <c r="G49" s="359">
        <f>IF(OR(G47=Wat01_option01,G47=Wat01_option02,G47=""),0,(G48/$G$51)*G47)</f>
        <v>0</v>
      </c>
      <c r="H49" s="359">
        <f>IF(OR(H47=Wat01_option01,H47=Wat01_option02,H47=""),0,(H48/$H$51)*H47)</f>
        <v>0</v>
      </c>
      <c r="I49" s="359">
        <f>IF(OR(I47=Wat01_option01,I47=Wat01_option02,I47=""),0,(I48/$I$51)*I47)</f>
        <v>0</v>
      </c>
      <c r="J49" s="359">
        <f>IF(OR(J47=Wat01_option01,J47=Wat01_option02,J47=""),0,(J48/$J$51)*J47)</f>
        <v>0</v>
      </c>
      <c r="K49" s="359">
        <f>IF(OR(K47=Wat01_option01,K47=Wat01_option02,K47=""),0,(K48/$K$51)*K47)</f>
        <v>0</v>
      </c>
      <c r="L49" s="359">
        <f>IF(OR(L47=Wat01_option01,L47=Wat01_option02,L47=""),0,(L48/$L$51)*L47)</f>
        <v>0</v>
      </c>
      <c r="M49" s="359">
        <f>IF(OR(M47=Wat01_option01,M47=Wat01_option02,M47=""),0,(M48/$M$51)*M47)</f>
        <v>0</v>
      </c>
      <c r="N49" s="359">
        <f>IF(OR(N47=Wat01_option01,N47=Wat01_option02,N47=""),0,(N48/$N$51)*N47)</f>
        <v>0</v>
      </c>
      <c r="O49" s="359">
        <f>IF(OR(O47=Wat01_option01,O47=Wat01_option02,O47=""),0,(O48/$O$51)*O47)</f>
        <v>0</v>
      </c>
      <c r="P49" s="349"/>
      <c r="R49" s="348"/>
      <c r="X49" s="349"/>
    </row>
    <row r="50" spans="1:24" ht="25" customHeight="1" x14ac:dyDescent="0.35">
      <c r="C50" s="348"/>
      <c r="D50" s="361" t="str">
        <f>IF(OR(D$15=$G$126,D$16=$G$136),"",IF(AND(D$17&gt;8,OR(D47=$G$124,D48="")),"↑",""))</f>
        <v>↑</v>
      </c>
      <c r="E50" s="361" t="str">
        <f t="shared" ref="E50:O50" si="9">IF(OR(E$15=$G$126,E$16=$G$136),"",IF(AND(E$17&gt;8,OR(E47=$G$124,E48="")),"↑",""))</f>
        <v>↑</v>
      </c>
      <c r="F50" s="361" t="str">
        <f t="shared" si="9"/>
        <v>↑</v>
      </c>
      <c r="G50" s="361" t="str">
        <f t="shared" si="9"/>
        <v>↑</v>
      </c>
      <c r="H50" s="361" t="str">
        <f t="shared" si="9"/>
        <v/>
      </c>
      <c r="I50" s="361" t="str">
        <f t="shared" si="9"/>
        <v>↑</v>
      </c>
      <c r="J50" s="361" t="str">
        <f t="shared" si="9"/>
        <v/>
      </c>
      <c r="K50" s="361" t="str">
        <f t="shared" si="9"/>
        <v>↑</v>
      </c>
      <c r="L50" s="361" t="str">
        <f t="shared" si="9"/>
        <v/>
      </c>
      <c r="M50" s="361" t="str">
        <f t="shared" si="9"/>
        <v/>
      </c>
      <c r="N50" s="361" t="str">
        <f t="shared" si="9"/>
        <v/>
      </c>
      <c r="O50" s="361" t="str">
        <f t="shared" si="9"/>
        <v/>
      </c>
      <c r="P50" s="349"/>
      <c r="R50" s="348"/>
      <c r="X50" s="349"/>
    </row>
    <row r="51" spans="1:24" ht="15" customHeight="1" x14ac:dyDescent="0.35">
      <c r="B51" s="585" t="s">
        <v>903</v>
      </c>
      <c r="C51" s="585"/>
      <c r="D51" s="362" t="str">
        <f t="shared" ref="D51:O51" si="10">IF(D17=1,D20,IF(D17=2,D20+D24,IF(D17=3,D20+D24+D28,IF(D17=4,D20+D24+D28+D32,IF(D17=5,D20+D24+D28+D32+D36,IF(D17=6,D20+D24+D28+D32+D36+D40,IF(D17=7,D20+D24+D28+D32+D36+D40+D44,IF(D17=8,D20+D24+D28+D32+D36+D40+D44+D48,"-"))))))))</f>
        <v>-</v>
      </c>
      <c r="E51" s="362" t="str">
        <f t="shared" si="10"/>
        <v>-</v>
      </c>
      <c r="F51" s="362" t="str">
        <f t="shared" si="10"/>
        <v>-</v>
      </c>
      <c r="G51" s="362" t="str">
        <f t="shared" si="10"/>
        <v>-</v>
      </c>
      <c r="H51" s="362" t="str">
        <f t="shared" si="10"/>
        <v>-</v>
      </c>
      <c r="I51" s="362" t="str">
        <f t="shared" si="10"/>
        <v>-</v>
      </c>
      <c r="J51" s="362" t="str">
        <f t="shared" si="10"/>
        <v>-</v>
      </c>
      <c r="K51" s="362" t="str">
        <f t="shared" si="10"/>
        <v>-</v>
      </c>
      <c r="L51" s="362" t="str">
        <f t="shared" si="10"/>
        <v>-</v>
      </c>
      <c r="M51" s="362" t="str">
        <f t="shared" si="10"/>
        <v>-</v>
      </c>
      <c r="N51" s="362" t="str">
        <f t="shared" si="10"/>
        <v>-</v>
      </c>
      <c r="O51" s="362" t="str">
        <f t="shared" si="10"/>
        <v>-</v>
      </c>
      <c r="P51" s="349"/>
      <c r="R51" s="348"/>
      <c r="X51" s="349"/>
    </row>
    <row r="52" spans="1:24" x14ac:dyDescent="0.35">
      <c r="C52" s="348"/>
      <c r="D52" s="348"/>
      <c r="E52" s="348"/>
      <c r="F52" s="348"/>
      <c r="G52" s="348"/>
      <c r="H52" s="348"/>
      <c r="I52" s="348"/>
      <c r="J52" s="348"/>
      <c r="K52" s="348"/>
      <c r="L52" s="348"/>
      <c r="M52" s="348"/>
      <c r="N52" s="348"/>
      <c r="O52" s="348"/>
      <c r="P52" s="349"/>
      <c r="R52" s="348"/>
      <c r="X52" s="349"/>
    </row>
    <row r="53" spans="1:24" ht="15" customHeight="1" x14ac:dyDescent="0.35">
      <c r="B53" s="585" t="s">
        <v>904</v>
      </c>
      <c r="C53" s="585"/>
      <c r="D53" s="363" t="str">
        <f t="shared" ref="D53:O53" si="11">IF(D17=1,D21,IF(D17=2,D21+D25,IF(D17=3,D21+D25+D29,IF(D17=4,D21+D25+D29+D33,IF(D17=5,D21+D25+D29+D33+D37,IF(D17=6,D21+D25+D29+D33+D37+D41,IF(D17=7,D21+D25+D29+D33+D37+D41+D45,IF(D17=8,D21+D25+D29+D33+D37+D41+D45+D49,"-"))))))))</f>
        <v>-</v>
      </c>
      <c r="E53" s="363" t="str">
        <f t="shared" si="11"/>
        <v>-</v>
      </c>
      <c r="F53" s="363" t="str">
        <f t="shared" si="11"/>
        <v>-</v>
      </c>
      <c r="G53" s="363" t="str">
        <f t="shared" si="11"/>
        <v>-</v>
      </c>
      <c r="H53" s="363" t="str">
        <f t="shared" si="11"/>
        <v>-</v>
      </c>
      <c r="I53" s="363" t="str">
        <f t="shared" si="11"/>
        <v>-</v>
      </c>
      <c r="J53" s="363" t="str">
        <f t="shared" si="11"/>
        <v>-</v>
      </c>
      <c r="K53" s="363" t="str">
        <f t="shared" si="11"/>
        <v>-</v>
      </c>
      <c r="L53" s="363" t="str">
        <f t="shared" si="11"/>
        <v>-</v>
      </c>
      <c r="M53" s="363" t="str">
        <f t="shared" si="11"/>
        <v>-</v>
      </c>
      <c r="N53" s="363" t="str">
        <f t="shared" si="11"/>
        <v>-</v>
      </c>
      <c r="O53" s="363" t="str">
        <f t="shared" si="11"/>
        <v>-</v>
      </c>
      <c r="P53" s="349"/>
      <c r="R53" s="348"/>
      <c r="X53" s="349"/>
    </row>
    <row r="54" spans="1:24" x14ac:dyDescent="0.35">
      <c r="C54" s="349"/>
      <c r="D54" s="349"/>
      <c r="E54" s="349"/>
      <c r="F54" s="349"/>
      <c r="G54" s="349"/>
      <c r="H54" s="349"/>
      <c r="I54" s="349"/>
      <c r="J54" s="349"/>
      <c r="K54" s="349"/>
      <c r="L54" s="349"/>
      <c r="M54" s="349"/>
      <c r="N54" s="349"/>
      <c r="O54" s="349"/>
      <c r="P54" s="349"/>
      <c r="R54" s="348"/>
      <c r="X54" s="349"/>
    </row>
    <row r="55" spans="1:24" ht="15" customHeight="1" x14ac:dyDescent="0.35">
      <c r="B55" s="585" t="s">
        <v>905</v>
      </c>
      <c r="C55" s="585"/>
      <c r="D55" s="364" t="str">
        <f>D114</f>
        <v>N/A</v>
      </c>
      <c r="E55" s="364">
        <f>IF(ISERROR(E114),"-",E114)</f>
        <v>1</v>
      </c>
      <c r="F55" s="364" t="str">
        <f>IF(ISERROR(F114),"-",F114)</f>
        <v>N/A</v>
      </c>
      <c r="G55" s="364" t="str">
        <f>IF(ISERROR(G114),"-",G114)</f>
        <v>N/A</v>
      </c>
      <c r="H55" s="364" t="str">
        <f t="shared" ref="H55:O55" si="12">H114</f>
        <v>N/A</v>
      </c>
      <c r="I55" s="364" t="str">
        <f t="shared" si="12"/>
        <v>N/A</v>
      </c>
      <c r="J55" s="364" t="str">
        <f t="shared" si="12"/>
        <v>N/A</v>
      </c>
      <c r="K55" s="364" t="str">
        <f t="shared" si="12"/>
        <v>N/A</v>
      </c>
      <c r="L55" s="364" t="str">
        <f t="shared" si="12"/>
        <v>N/A</v>
      </c>
      <c r="M55" s="364" t="str">
        <f t="shared" si="12"/>
        <v>N/A</v>
      </c>
      <c r="N55" s="364" t="str">
        <f t="shared" si="12"/>
        <v>N/A</v>
      </c>
      <c r="O55" s="364" t="str">
        <f t="shared" si="12"/>
        <v>N/A</v>
      </c>
      <c r="P55" s="349"/>
      <c r="R55" s="348"/>
      <c r="X55" s="349"/>
    </row>
    <row r="56" spans="1:24" x14ac:dyDescent="0.35">
      <c r="C56" s="348"/>
      <c r="D56" s="348"/>
      <c r="E56" s="348"/>
      <c r="F56" s="348"/>
      <c r="G56" s="348"/>
      <c r="H56" s="348"/>
      <c r="I56" s="348"/>
      <c r="J56" s="348"/>
      <c r="K56" s="348"/>
      <c r="L56" s="348"/>
      <c r="M56" s="348"/>
      <c r="N56" s="348"/>
      <c r="O56" s="348"/>
      <c r="P56" s="349"/>
      <c r="Q56" s="348"/>
      <c r="R56" s="348"/>
      <c r="X56" s="349"/>
    </row>
    <row r="57" spans="1:24" ht="15" customHeight="1" x14ac:dyDescent="0.35">
      <c r="B57" s="585" t="s">
        <v>906</v>
      </c>
      <c r="C57" s="585"/>
      <c r="D57" s="359" t="str">
        <f t="shared" ref="D57:O57" si="13">IF(ISERROR(IF(OR(D15=$G$126,D16=$G$136),"-",IF(D55="N/A","-",D53*D55))),"-",IF(OR(D15=$G$126,D16=$G$136),"-",IF(D55="N/A","-",D53*D55)))</f>
        <v>-</v>
      </c>
      <c r="E57" s="359" t="str">
        <f t="shared" si="13"/>
        <v>-</v>
      </c>
      <c r="F57" s="359" t="str">
        <f t="shared" si="13"/>
        <v>-</v>
      </c>
      <c r="G57" s="359" t="str">
        <f t="shared" si="13"/>
        <v>-</v>
      </c>
      <c r="H57" s="359" t="str">
        <f t="shared" si="13"/>
        <v>-</v>
      </c>
      <c r="I57" s="359" t="str">
        <f t="shared" si="13"/>
        <v>-</v>
      </c>
      <c r="J57" s="359" t="str">
        <f t="shared" si="13"/>
        <v>-</v>
      </c>
      <c r="K57" s="359" t="str">
        <f t="shared" si="13"/>
        <v>-</v>
      </c>
      <c r="L57" s="359" t="str">
        <f t="shared" si="13"/>
        <v>-</v>
      </c>
      <c r="M57" s="359" t="str">
        <f t="shared" si="13"/>
        <v>-</v>
      </c>
      <c r="N57" s="359" t="str">
        <f t="shared" si="13"/>
        <v>-</v>
      </c>
      <c r="O57" s="359" t="str">
        <f t="shared" si="13"/>
        <v>-</v>
      </c>
      <c r="P57" s="349"/>
      <c r="R57" s="348"/>
      <c r="X57" s="349"/>
    </row>
    <row r="58" spans="1:24" ht="15" customHeight="1" x14ac:dyDescent="0.35">
      <c r="C58" s="348"/>
      <c r="D58" s="348"/>
      <c r="E58" s="349"/>
      <c r="F58" s="349"/>
      <c r="G58" s="349"/>
      <c r="H58" s="348"/>
      <c r="I58" s="349"/>
      <c r="J58" s="349"/>
      <c r="K58" s="349"/>
      <c r="L58" s="348"/>
      <c r="M58" s="348"/>
      <c r="N58" s="348"/>
      <c r="O58" s="348"/>
      <c r="P58" s="349"/>
      <c r="R58" s="348"/>
      <c r="X58" s="349"/>
    </row>
    <row r="59" spans="1:24" ht="15" customHeight="1" x14ac:dyDescent="0.35">
      <c r="B59" s="586" t="s">
        <v>907</v>
      </c>
      <c r="C59" s="586"/>
      <c r="D59" s="365" t="str">
        <f>(IF(ISERROR(IF(SUM(D57:O57)&lt;1,Wat01_option02,(SUM(D57:O57)))),C138,IF((ROUNDDOWN(SUM(D57:O57),0))&lt;1,Wat01_option02,(ROUNDDOWN(SUM(D57:O57),0)))))</f>
        <v>Baseline</v>
      </c>
      <c r="E59" s="366" t="s">
        <v>908</v>
      </c>
      <c r="F59" s="349"/>
      <c r="G59" s="349"/>
      <c r="H59" s="367"/>
      <c r="I59" s="349"/>
      <c r="J59" s="349"/>
      <c r="K59" s="349"/>
      <c r="L59" s="349"/>
      <c r="M59" s="349"/>
      <c r="N59" s="349"/>
      <c r="O59" s="349"/>
      <c r="P59" s="349"/>
      <c r="R59" s="348"/>
    </row>
    <row r="60" spans="1:24" ht="25" customHeight="1" x14ac:dyDescent="0.35">
      <c r="C60" s="348"/>
      <c r="D60" s="348"/>
      <c r="E60" s="349"/>
      <c r="G60" s="349"/>
      <c r="H60" s="367"/>
      <c r="I60" s="349"/>
      <c r="J60" s="349"/>
      <c r="K60" s="349"/>
      <c r="L60" s="349"/>
      <c r="M60" s="349"/>
      <c r="N60" s="349"/>
      <c r="O60" s="349"/>
      <c r="P60" s="349"/>
      <c r="R60" s="348"/>
    </row>
    <row r="61" spans="1:24" ht="25" customHeight="1" x14ac:dyDescent="0.35">
      <c r="B61" s="440" t="s">
        <v>909</v>
      </c>
      <c r="C61" s="440"/>
      <c r="D61" s="440"/>
      <c r="E61" s="440"/>
      <c r="F61" s="440"/>
      <c r="G61" s="440"/>
      <c r="H61" s="440"/>
      <c r="I61" s="440"/>
      <c r="J61" s="440"/>
      <c r="K61" s="440"/>
      <c r="L61" s="440"/>
      <c r="M61" s="440"/>
      <c r="N61" s="440"/>
      <c r="O61" s="440"/>
      <c r="P61" s="349"/>
      <c r="R61" s="348"/>
      <c r="X61" s="349"/>
    </row>
    <row r="62" spans="1:24" ht="25" customHeight="1" x14ac:dyDescent="0.35">
      <c r="C62" s="348"/>
      <c r="D62" s="348"/>
      <c r="E62" s="349"/>
      <c r="F62" s="349"/>
      <c r="G62" s="349"/>
      <c r="H62" s="348"/>
      <c r="I62" s="349"/>
      <c r="J62" s="349"/>
      <c r="K62" s="349"/>
      <c r="L62" s="348"/>
      <c r="M62" s="348"/>
      <c r="N62" s="348"/>
      <c r="O62" s="348"/>
      <c r="P62" s="349"/>
      <c r="R62" s="348"/>
      <c r="X62" s="349"/>
    </row>
    <row r="63" spans="1:24" ht="15" customHeight="1" x14ac:dyDescent="0.35">
      <c r="A63" s="351" t="str">
        <f>IF(OR(G63="",G63=$G$124),"→","")</f>
        <v>→</v>
      </c>
      <c r="B63" s="586" t="s">
        <v>910</v>
      </c>
      <c r="C63" s="586"/>
      <c r="D63" s="586"/>
      <c r="E63" s="586"/>
      <c r="F63" s="586"/>
      <c r="G63" s="599" t="s">
        <v>699</v>
      </c>
      <c r="H63" s="600"/>
      <c r="I63" s="349"/>
      <c r="J63" s="349"/>
      <c r="K63" s="349"/>
      <c r="L63" s="348"/>
      <c r="M63" s="348"/>
      <c r="N63" s="348"/>
      <c r="O63" s="348"/>
      <c r="P63" s="349"/>
      <c r="R63" s="348"/>
      <c r="X63" s="349"/>
    </row>
    <row r="64" spans="1:24" ht="15" customHeight="1" x14ac:dyDescent="0.35">
      <c r="C64" s="369"/>
      <c r="D64" s="369"/>
      <c r="E64" s="369"/>
      <c r="F64" s="369"/>
      <c r="G64" s="349"/>
      <c r="H64" s="349"/>
      <c r="I64" s="349"/>
      <c r="J64" s="349"/>
      <c r="K64" s="349"/>
      <c r="L64" s="348"/>
      <c r="M64" s="348"/>
      <c r="N64" s="348"/>
      <c r="O64" s="348"/>
      <c r="P64" s="349"/>
      <c r="R64" s="348"/>
      <c r="X64" s="349"/>
    </row>
    <row r="65" spans="1:25" ht="15" customHeight="1" x14ac:dyDescent="0.35">
      <c r="A65" s="351" t="str">
        <f>IF(OR(G65="",G65=$G$124),"→","")</f>
        <v>→</v>
      </c>
      <c r="B65" s="586" t="s">
        <v>911</v>
      </c>
      <c r="C65" s="586"/>
      <c r="D65" s="586"/>
      <c r="E65" s="586"/>
      <c r="F65" s="586"/>
      <c r="G65" s="599" t="s">
        <v>699</v>
      </c>
      <c r="H65" s="600"/>
      <c r="I65" s="349"/>
      <c r="J65" s="349"/>
      <c r="K65" s="349"/>
      <c r="L65" s="348"/>
      <c r="M65" s="348"/>
      <c r="N65" s="348"/>
      <c r="O65" s="348"/>
      <c r="P65" s="349"/>
      <c r="R65" s="348"/>
      <c r="X65" s="349"/>
    </row>
    <row r="66" spans="1:25" x14ac:dyDescent="0.35">
      <c r="C66" s="369"/>
      <c r="D66" s="369"/>
      <c r="E66" s="369"/>
      <c r="F66" s="369"/>
      <c r="G66" s="349"/>
      <c r="H66" s="349"/>
      <c r="I66" s="349"/>
      <c r="J66" s="349"/>
      <c r="K66" s="349"/>
      <c r="L66" s="348"/>
      <c r="M66" s="348"/>
      <c r="N66" s="348"/>
      <c r="O66" s="348"/>
      <c r="P66" s="349"/>
      <c r="R66" s="348"/>
      <c r="X66" s="349"/>
    </row>
    <row r="67" spans="1:25" ht="15" customHeight="1" x14ac:dyDescent="0.35">
      <c r="A67" s="351" t="str">
        <f>IF(OR(G67="",G67=$G$124),"→","")</f>
        <v>→</v>
      </c>
      <c r="B67" s="586" t="s">
        <v>912</v>
      </c>
      <c r="C67" s="586"/>
      <c r="D67" s="586"/>
      <c r="E67" s="586"/>
      <c r="F67" s="586"/>
      <c r="G67" s="601" t="s">
        <v>699</v>
      </c>
      <c r="H67" s="602"/>
      <c r="I67" s="349"/>
      <c r="J67" s="349"/>
      <c r="K67" s="349"/>
      <c r="L67" s="349"/>
      <c r="M67" s="349"/>
      <c r="N67" s="349"/>
      <c r="O67" s="349"/>
      <c r="P67" s="349"/>
      <c r="R67" s="348"/>
      <c r="X67" s="349"/>
    </row>
    <row r="68" spans="1:25" ht="15" customHeight="1" x14ac:dyDescent="0.35">
      <c r="B68" s="586" t="s">
        <v>913</v>
      </c>
      <c r="C68" s="586"/>
      <c r="D68" s="586"/>
      <c r="E68" s="586"/>
      <c r="F68" s="586"/>
      <c r="G68" s="596" t="s">
        <v>914</v>
      </c>
      <c r="H68" s="597"/>
      <c r="I68" s="597"/>
      <c r="J68" s="597"/>
      <c r="K68" s="597"/>
      <c r="L68" s="597"/>
      <c r="M68" s="597"/>
      <c r="N68" s="597"/>
      <c r="O68" s="598"/>
      <c r="P68" s="349"/>
      <c r="R68" s="348"/>
      <c r="X68" s="349"/>
    </row>
    <row r="69" spans="1:25" x14ac:dyDescent="0.35">
      <c r="C69" s="349"/>
      <c r="D69" s="349"/>
      <c r="E69" s="349"/>
      <c r="F69" s="349"/>
      <c r="G69" s="349"/>
      <c r="H69" s="348"/>
      <c r="I69" s="349"/>
      <c r="J69" s="349"/>
      <c r="K69" s="349"/>
      <c r="L69" s="348"/>
      <c r="M69" s="348"/>
      <c r="N69" s="348"/>
      <c r="O69" s="348"/>
      <c r="P69" s="349"/>
      <c r="R69" s="348"/>
      <c r="X69" s="349"/>
    </row>
    <row r="70" spans="1:25" ht="15" customHeight="1" x14ac:dyDescent="0.35">
      <c r="B70" s="587" t="s">
        <v>915</v>
      </c>
      <c r="C70" s="588"/>
      <c r="D70" s="588"/>
      <c r="E70" s="588"/>
      <c r="F70" s="588"/>
      <c r="G70" s="589"/>
      <c r="H70" s="348"/>
      <c r="I70" s="349"/>
      <c r="J70" s="349"/>
      <c r="K70" s="349"/>
      <c r="L70" s="348"/>
      <c r="M70" s="348"/>
      <c r="N70" s="348"/>
      <c r="O70" s="348"/>
      <c r="P70" s="349"/>
      <c r="R70" s="348"/>
      <c r="X70" s="349"/>
    </row>
    <row r="71" spans="1:25" ht="15" customHeight="1" x14ac:dyDescent="0.35">
      <c r="A71" s="351" t="str">
        <f>IF(AND(OR(B71=G124,G71=""),OR(G63=G125,G65=G125,G67=G125)),"→","")</f>
        <v/>
      </c>
      <c r="B71" s="593" t="s">
        <v>699</v>
      </c>
      <c r="C71" s="594"/>
      <c r="D71" s="594"/>
      <c r="E71" s="594"/>
      <c r="F71" s="595"/>
      <c r="G71" s="523"/>
      <c r="H71" s="370" t="s">
        <v>916</v>
      </c>
      <c r="I71" s="349"/>
      <c r="J71" s="349"/>
      <c r="K71" s="349"/>
      <c r="L71" s="348"/>
      <c r="M71" s="348"/>
      <c r="N71" s="348"/>
      <c r="O71" s="348"/>
      <c r="P71" s="349"/>
      <c r="R71" s="348"/>
      <c r="X71" s="349"/>
    </row>
    <row r="72" spans="1:25" x14ac:dyDescent="0.35">
      <c r="C72" s="348"/>
      <c r="D72" s="348"/>
      <c r="E72" s="348"/>
      <c r="F72" s="348"/>
      <c r="G72" s="371"/>
      <c r="H72" s="348"/>
      <c r="I72" s="349"/>
      <c r="J72" s="349"/>
      <c r="K72" s="349"/>
      <c r="L72" s="348"/>
      <c r="M72" s="348"/>
      <c r="N72" s="348"/>
      <c r="O72" s="348"/>
      <c r="P72" s="349"/>
      <c r="R72" s="348"/>
      <c r="X72" s="349"/>
    </row>
    <row r="73" spans="1:25" x14ac:dyDescent="0.35">
      <c r="B73" s="592" t="s">
        <v>917</v>
      </c>
      <c r="C73" s="592"/>
      <c r="D73" s="592"/>
      <c r="E73" s="592"/>
      <c r="F73" s="592"/>
      <c r="G73" s="362" t="str">
        <f>IF(G71&gt;=0.75,5,IF(G71&gt;=0.5,4,IF(G71&gt;=0.25,3,IF(OR(G71=0,G71=""),I134,IF(G71&lt;0.25,"Upto level 2")))))</f>
        <v>Baseline</v>
      </c>
      <c r="H73" s="372" t="s">
        <v>918</v>
      </c>
      <c r="I73" s="349"/>
      <c r="J73" s="349"/>
      <c r="K73" s="349"/>
      <c r="L73" s="348"/>
      <c r="M73" s="348"/>
      <c r="N73" s="348"/>
      <c r="O73" s="348"/>
      <c r="P73" s="349"/>
      <c r="R73" s="348"/>
      <c r="X73" s="349"/>
    </row>
    <row r="74" spans="1:25" ht="25" customHeight="1" x14ac:dyDescent="0.35">
      <c r="C74" s="348"/>
      <c r="D74" s="348"/>
      <c r="E74" s="349"/>
      <c r="F74" s="349"/>
      <c r="G74" s="349"/>
      <c r="H74" s="348"/>
      <c r="I74" s="349"/>
      <c r="J74" s="349"/>
      <c r="K74" s="349"/>
      <c r="L74" s="348"/>
      <c r="M74" s="348"/>
      <c r="N74" s="348"/>
      <c r="O74" s="348"/>
      <c r="P74" s="349"/>
      <c r="R74" s="348"/>
      <c r="X74" s="349"/>
      <c r="Y74" s="349"/>
    </row>
    <row r="75" spans="1:25" ht="25" customHeight="1" x14ac:dyDescent="0.35">
      <c r="B75" s="440" t="s">
        <v>919</v>
      </c>
      <c r="C75" s="440"/>
      <c r="D75" s="440"/>
      <c r="E75" s="440"/>
      <c r="F75" s="440"/>
      <c r="G75" s="440"/>
      <c r="H75" s="440"/>
      <c r="I75" s="440"/>
      <c r="J75" s="440"/>
      <c r="K75" s="440"/>
      <c r="L75" s="440"/>
      <c r="M75" s="440"/>
      <c r="N75" s="440"/>
      <c r="O75" s="440"/>
      <c r="P75" s="349"/>
      <c r="R75" s="348"/>
      <c r="X75" s="349"/>
      <c r="Y75" s="349"/>
    </row>
    <row r="76" spans="1:25" ht="25" customHeight="1" x14ac:dyDescent="0.35">
      <c r="C76" s="373"/>
      <c r="D76" s="373"/>
      <c r="E76" s="349"/>
      <c r="F76" s="349"/>
      <c r="G76" s="349"/>
      <c r="H76" s="367"/>
      <c r="I76" s="349"/>
      <c r="J76" s="349"/>
      <c r="K76" s="349"/>
      <c r="L76" s="349"/>
      <c r="M76" s="349"/>
      <c r="N76" s="349"/>
      <c r="O76" s="349"/>
      <c r="P76" s="349"/>
    </row>
    <row r="77" spans="1:25" ht="26.25" customHeight="1" x14ac:dyDescent="0.35">
      <c r="B77" s="583" t="s">
        <v>805</v>
      </c>
      <c r="C77" s="584"/>
      <c r="D77" s="590">
        <f>IF(ISERROR(I144),C138,I144)</f>
        <v>0</v>
      </c>
      <c r="E77" s="591"/>
      <c r="F77" s="353"/>
      <c r="G77" s="349"/>
      <c r="H77" s="348"/>
      <c r="I77" s="349"/>
      <c r="J77" s="349"/>
      <c r="K77" s="349"/>
      <c r="L77" s="349"/>
      <c r="M77" s="349"/>
      <c r="N77" s="349"/>
      <c r="O77" s="349"/>
      <c r="P77" s="349"/>
    </row>
    <row r="78" spans="1:25" x14ac:dyDescent="0.35">
      <c r="C78" s="348"/>
      <c r="D78" s="348"/>
      <c r="E78" s="349"/>
      <c r="F78" s="349"/>
      <c r="G78" s="349"/>
      <c r="H78" s="348"/>
      <c r="I78" s="349"/>
      <c r="J78" s="349"/>
      <c r="K78" s="349"/>
      <c r="L78" s="349"/>
      <c r="M78" s="349"/>
      <c r="N78" s="349"/>
      <c r="O78" s="349"/>
      <c r="P78" s="349"/>
    </row>
    <row r="79" spans="1:25" ht="25" customHeight="1" x14ac:dyDescent="0.35">
      <c r="B79" s="583" t="s">
        <v>806</v>
      </c>
      <c r="C79" s="584"/>
      <c r="D79" s="374">
        <f>IF(AND(D59=5,G71&gt;0.95),1,0)</f>
        <v>0</v>
      </c>
      <c r="E79" s="349"/>
      <c r="F79" s="349"/>
      <c r="G79" s="349"/>
      <c r="H79" s="348"/>
      <c r="I79" s="349"/>
      <c r="J79" s="349"/>
      <c r="K79" s="349"/>
      <c r="L79" s="349"/>
      <c r="M79" s="349"/>
      <c r="N79" s="349"/>
      <c r="O79" s="349"/>
      <c r="P79" s="349"/>
    </row>
    <row r="80" spans="1:25" x14ac:dyDescent="0.35">
      <c r="C80" s="348"/>
      <c r="D80" s="348"/>
      <c r="E80" s="349"/>
      <c r="F80" s="349"/>
      <c r="G80" s="349"/>
      <c r="H80" s="348"/>
      <c r="I80" s="349"/>
      <c r="J80" s="349"/>
      <c r="K80" s="349"/>
      <c r="L80" s="349"/>
      <c r="M80" s="349"/>
      <c r="N80" s="349"/>
      <c r="O80" s="349"/>
      <c r="P80" s="349"/>
    </row>
    <row r="81" spans="3:18" ht="15.75" hidden="1" customHeight="1" x14ac:dyDescent="0.35">
      <c r="C81" s="375"/>
      <c r="D81" s="348"/>
      <c r="E81" s="349"/>
      <c r="F81" s="349"/>
      <c r="G81" s="349"/>
      <c r="H81" s="348"/>
      <c r="I81" s="349"/>
      <c r="J81" s="349"/>
      <c r="K81" s="349"/>
      <c r="L81" s="349"/>
      <c r="M81" s="349"/>
      <c r="N81" s="349"/>
      <c r="O81" s="349"/>
      <c r="P81" s="349"/>
    </row>
    <row r="82" spans="3:18" hidden="1" x14ac:dyDescent="0.35">
      <c r="C82" s="376" t="s">
        <v>920</v>
      </c>
      <c r="D82" s="362">
        <v>2</v>
      </c>
      <c r="E82" s="362">
        <v>3</v>
      </c>
      <c r="F82" s="362">
        <v>4</v>
      </c>
      <c r="G82" s="362">
        <v>5</v>
      </c>
      <c r="H82" s="362">
        <v>6</v>
      </c>
      <c r="I82" s="362">
        <v>7</v>
      </c>
      <c r="J82" s="362">
        <v>8</v>
      </c>
      <c r="K82" s="362">
        <v>9</v>
      </c>
      <c r="L82" s="362">
        <v>10</v>
      </c>
      <c r="M82" s="362">
        <v>11</v>
      </c>
      <c r="N82" s="362">
        <v>12</v>
      </c>
      <c r="O82" s="377">
        <v>13</v>
      </c>
      <c r="P82" s="362"/>
      <c r="Q82" s="378"/>
      <c r="R82" s="378"/>
    </row>
    <row r="83" spans="3:18" ht="43.5" hidden="1" x14ac:dyDescent="0.35">
      <c r="C83" s="378" t="s">
        <v>700</v>
      </c>
      <c r="D83" s="377" t="s">
        <v>921</v>
      </c>
      <c r="E83" s="377" t="s">
        <v>472</v>
      </c>
      <c r="F83" s="377" t="s">
        <v>922</v>
      </c>
      <c r="G83" s="377" t="s">
        <v>923</v>
      </c>
      <c r="H83" s="362" t="s">
        <v>760</v>
      </c>
      <c r="I83" s="377" t="s">
        <v>924</v>
      </c>
      <c r="J83" s="377" t="s">
        <v>925</v>
      </c>
      <c r="K83" s="377" t="s">
        <v>926</v>
      </c>
      <c r="L83" s="377" t="s">
        <v>927</v>
      </c>
      <c r="M83" s="377" t="s">
        <v>928</v>
      </c>
      <c r="N83" s="377" t="s">
        <v>929</v>
      </c>
      <c r="O83" s="377" t="s">
        <v>930</v>
      </c>
      <c r="P83" s="362" t="s">
        <v>748</v>
      </c>
      <c r="Q83" s="362" t="s">
        <v>931</v>
      </c>
      <c r="R83" s="378" t="s">
        <v>932</v>
      </c>
    </row>
    <row r="84" spans="3:18" hidden="1" x14ac:dyDescent="0.35">
      <c r="C84" s="378"/>
      <c r="D84" s="362">
        <v>36.35</v>
      </c>
      <c r="E84" s="362">
        <v>3.5</v>
      </c>
      <c r="F84" s="362">
        <v>15.42</v>
      </c>
      <c r="G84" s="362">
        <v>42</v>
      </c>
      <c r="H84" s="362">
        <v>36</v>
      </c>
      <c r="I84" s="362">
        <v>4.7699999999999996</v>
      </c>
      <c r="J84" s="362" t="s">
        <v>517</v>
      </c>
      <c r="K84" s="362">
        <v>0.34</v>
      </c>
      <c r="L84" s="362">
        <v>4.9400000000000004</v>
      </c>
      <c r="M84" s="377">
        <v>4.08</v>
      </c>
      <c r="N84" s="362">
        <v>8</v>
      </c>
      <c r="O84" s="362">
        <v>49.82</v>
      </c>
      <c r="P84" s="362">
        <f>SUM(D84:O84)</f>
        <v>205.22000000000003</v>
      </c>
      <c r="Q84" s="362" t="s">
        <v>933</v>
      </c>
      <c r="R84" s="378" t="s">
        <v>934</v>
      </c>
    </row>
    <row r="85" spans="3:18" hidden="1" x14ac:dyDescent="0.35">
      <c r="C85" s="378" t="s">
        <v>935</v>
      </c>
      <c r="D85" s="524">
        <f t="shared" ref="D85:I85" si="14">D84/$P$84</f>
        <v>0.17712698567391091</v>
      </c>
      <c r="E85" s="524">
        <f t="shared" si="14"/>
        <v>1.7054867946593898E-2</v>
      </c>
      <c r="F85" s="524">
        <f t="shared" si="14"/>
        <v>7.51388753532794E-2</v>
      </c>
      <c r="G85" s="524">
        <f t="shared" si="14"/>
        <v>0.20465841535912677</v>
      </c>
      <c r="H85" s="524">
        <f t="shared" si="14"/>
        <v>0.17542149887925151</v>
      </c>
      <c r="I85" s="524">
        <f t="shared" si="14"/>
        <v>2.3243348601500822E-2</v>
      </c>
      <c r="J85" s="524" t="s">
        <v>517</v>
      </c>
      <c r="K85" s="524">
        <f>K84/$P$84</f>
        <v>1.6567586005262645E-3</v>
      </c>
      <c r="L85" s="524">
        <f>L84/$P$84</f>
        <v>2.407172790176396E-2</v>
      </c>
      <c r="M85" s="524">
        <f>M84/$P$84</f>
        <v>1.988110320631517E-2</v>
      </c>
      <c r="N85" s="524">
        <f>N84/$P$84</f>
        <v>3.8982555306500334E-2</v>
      </c>
      <c r="O85" s="524">
        <f>O84/$P$84</f>
        <v>0.24276386317123083</v>
      </c>
      <c r="P85" s="379">
        <f>SUM(D85:O85)</f>
        <v>0.99999999999999978</v>
      </c>
      <c r="Q85" s="362"/>
      <c r="R85" s="378"/>
    </row>
    <row r="86" spans="3:18" hidden="1" x14ac:dyDescent="0.35">
      <c r="C86" s="378"/>
      <c r="D86" s="525">
        <f>D84</f>
        <v>36.35</v>
      </c>
      <c r="E86" s="525">
        <f t="shared" ref="E86:O86" si="15">E84</f>
        <v>3.5</v>
      </c>
      <c r="F86" s="525">
        <f t="shared" si="15"/>
        <v>15.42</v>
      </c>
      <c r="G86" s="525">
        <f t="shared" si="15"/>
        <v>42</v>
      </c>
      <c r="H86" s="525">
        <f t="shared" si="15"/>
        <v>36</v>
      </c>
      <c r="I86" s="525">
        <f t="shared" si="15"/>
        <v>4.7699999999999996</v>
      </c>
      <c r="J86" s="525" t="str">
        <f t="shared" si="15"/>
        <v>N/A</v>
      </c>
      <c r="K86" s="525">
        <f t="shared" si="15"/>
        <v>0.34</v>
      </c>
      <c r="L86" s="525">
        <f t="shared" si="15"/>
        <v>4.9400000000000004</v>
      </c>
      <c r="M86" s="525">
        <f t="shared" si="15"/>
        <v>4.08</v>
      </c>
      <c r="N86" s="525">
        <f t="shared" si="15"/>
        <v>8</v>
      </c>
      <c r="O86" s="525">
        <f t="shared" si="15"/>
        <v>49.82</v>
      </c>
      <c r="P86" s="525">
        <f>P84</f>
        <v>205.22000000000003</v>
      </c>
      <c r="Q86" s="362" t="s">
        <v>933</v>
      </c>
      <c r="R86" s="378" t="s">
        <v>934</v>
      </c>
    </row>
    <row r="87" spans="3:18" hidden="1" x14ac:dyDescent="0.35">
      <c r="C87" s="378" t="s">
        <v>936</v>
      </c>
      <c r="D87" s="524">
        <f>D85</f>
        <v>0.17712698567391091</v>
      </c>
      <c r="E87" s="524">
        <f t="shared" ref="E87:O87" si="16">E85</f>
        <v>1.7054867946593898E-2</v>
      </c>
      <c r="F87" s="524">
        <f t="shared" si="16"/>
        <v>7.51388753532794E-2</v>
      </c>
      <c r="G87" s="524">
        <f t="shared" si="16"/>
        <v>0.20465841535912677</v>
      </c>
      <c r="H87" s="524">
        <f t="shared" si="16"/>
        <v>0.17542149887925151</v>
      </c>
      <c r="I87" s="524">
        <f t="shared" si="16"/>
        <v>2.3243348601500822E-2</v>
      </c>
      <c r="J87" s="524" t="str">
        <f t="shared" si="16"/>
        <v>N/A</v>
      </c>
      <c r="K87" s="524">
        <f t="shared" si="16"/>
        <v>1.6567586005262645E-3</v>
      </c>
      <c r="L87" s="524">
        <f t="shared" si="16"/>
        <v>2.407172790176396E-2</v>
      </c>
      <c r="M87" s="524">
        <f t="shared" si="16"/>
        <v>1.988110320631517E-2</v>
      </c>
      <c r="N87" s="524">
        <f t="shared" si="16"/>
        <v>3.8982555306500334E-2</v>
      </c>
      <c r="O87" s="524">
        <f t="shared" si="16"/>
        <v>0.24276386317123083</v>
      </c>
      <c r="P87" s="524">
        <f>P85</f>
        <v>0.99999999999999978</v>
      </c>
      <c r="Q87" s="362"/>
      <c r="R87" s="378"/>
    </row>
    <row r="88" spans="3:18" hidden="1" x14ac:dyDescent="0.35">
      <c r="C88" s="378"/>
      <c r="D88" s="362">
        <f>D84</f>
        <v>36.35</v>
      </c>
      <c r="E88" s="362">
        <f t="shared" ref="E88:O88" si="17">E84</f>
        <v>3.5</v>
      </c>
      <c r="F88" s="362">
        <f t="shared" si="17"/>
        <v>15.42</v>
      </c>
      <c r="G88" s="362">
        <f t="shared" si="17"/>
        <v>42</v>
      </c>
      <c r="H88" s="362">
        <f t="shared" si="17"/>
        <v>36</v>
      </c>
      <c r="I88" s="362">
        <f t="shared" si="17"/>
        <v>4.7699999999999996</v>
      </c>
      <c r="J88" s="362" t="str">
        <f t="shared" si="17"/>
        <v>N/A</v>
      </c>
      <c r="K88" s="362">
        <f t="shared" si="17"/>
        <v>0.34</v>
      </c>
      <c r="L88" s="362">
        <f t="shared" si="17"/>
        <v>4.9400000000000004</v>
      </c>
      <c r="M88" s="362">
        <f t="shared" si="17"/>
        <v>4.08</v>
      </c>
      <c r="N88" s="362">
        <f t="shared" si="17"/>
        <v>8</v>
      </c>
      <c r="O88" s="362">
        <f t="shared" si="17"/>
        <v>49.82</v>
      </c>
      <c r="P88" s="362">
        <f>P84</f>
        <v>205.22000000000003</v>
      </c>
      <c r="Q88" s="362"/>
      <c r="R88" s="378"/>
    </row>
    <row r="89" spans="3:18" hidden="1" x14ac:dyDescent="0.35">
      <c r="C89" s="378" t="s">
        <v>937</v>
      </c>
      <c r="D89" s="524">
        <f>D85</f>
        <v>0.17712698567391091</v>
      </c>
      <c r="E89" s="524">
        <f t="shared" ref="E89:O89" si="18">E85</f>
        <v>1.7054867946593898E-2</v>
      </c>
      <c r="F89" s="524">
        <f t="shared" si="18"/>
        <v>7.51388753532794E-2</v>
      </c>
      <c r="G89" s="524">
        <f t="shared" si="18"/>
        <v>0.20465841535912677</v>
      </c>
      <c r="H89" s="524">
        <f t="shared" si="18"/>
        <v>0.17542149887925151</v>
      </c>
      <c r="I89" s="524">
        <f t="shared" si="18"/>
        <v>2.3243348601500822E-2</v>
      </c>
      <c r="J89" s="524" t="str">
        <f t="shared" si="18"/>
        <v>N/A</v>
      </c>
      <c r="K89" s="524">
        <f t="shared" si="18"/>
        <v>1.6567586005262645E-3</v>
      </c>
      <c r="L89" s="524">
        <f t="shared" si="18"/>
        <v>2.407172790176396E-2</v>
      </c>
      <c r="M89" s="524">
        <f t="shared" si="18"/>
        <v>1.988110320631517E-2</v>
      </c>
      <c r="N89" s="524">
        <f t="shared" si="18"/>
        <v>3.8982555306500334E-2</v>
      </c>
      <c r="O89" s="524">
        <f t="shared" si="18"/>
        <v>0.24276386317123083</v>
      </c>
      <c r="P89" s="524">
        <f>P85</f>
        <v>0.99999999999999978</v>
      </c>
      <c r="Q89" s="362" t="s">
        <v>938</v>
      </c>
      <c r="R89" s="378" t="s">
        <v>939</v>
      </c>
    </row>
    <row r="90" spans="3:18" hidden="1" x14ac:dyDescent="0.35">
      <c r="C90" s="378"/>
      <c r="D90" s="359">
        <f>D104</f>
        <v>187.98306956201696</v>
      </c>
      <c r="E90" s="359">
        <f t="shared" ref="E90:O90" si="19">E104</f>
        <v>28.197460434302542</v>
      </c>
      <c r="F90" s="359">
        <f t="shared" si="19"/>
        <v>121.56238498343762</v>
      </c>
      <c r="G90" s="359">
        <f t="shared" si="19"/>
        <v>151.26370997423632</v>
      </c>
      <c r="H90" s="359" t="str">
        <f t="shared" si="19"/>
        <v>N/A</v>
      </c>
      <c r="I90" s="359">
        <f t="shared" si="19"/>
        <v>68.17519322782482</v>
      </c>
      <c r="J90" s="359" t="str">
        <f t="shared" si="19"/>
        <v>N/A</v>
      </c>
      <c r="K90" s="359">
        <f t="shared" si="19"/>
        <v>8.5218991534781026</v>
      </c>
      <c r="L90" s="359">
        <f t="shared" si="19"/>
        <v>77.449024659550986</v>
      </c>
      <c r="M90" s="359">
        <f t="shared" si="19"/>
        <v>28.197460434302542</v>
      </c>
      <c r="N90" s="359">
        <f t="shared" si="19"/>
        <v>9.649797570850204</v>
      </c>
      <c r="O90" s="359">
        <f t="shared" si="19"/>
        <v>0</v>
      </c>
      <c r="P90" s="359">
        <f>P104</f>
        <v>681.00000000000011</v>
      </c>
      <c r="Q90" s="362" t="s">
        <v>938</v>
      </c>
      <c r="R90" s="378"/>
    </row>
    <row r="91" spans="3:18" hidden="1" x14ac:dyDescent="0.35">
      <c r="C91" s="378" t="s">
        <v>940</v>
      </c>
      <c r="D91" s="364">
        <f>D105</f>
        <v>0.27603974972396028</v>
      </c>
      <c r="E91" s="364">
        <f t="shared" ref="E91:O91" si="20">E105</f>
        <v>4.1405962458594035E-2</v>
      </c>
      <c r="F91" s="364">
        <f t="shared" si="20"/>
        <v>0.17850570482149428</v>
      </c>
      <c r="G91" s="364">
        <f t="shared" si="20"/>
        <v>0.22211998527788002</v>
      </c>
      <c r="H91" s="364" t="str">
        <f t="shared" si="20"/>
        <v>N/A</v>
      </c>
      <c r="I91" s="364">
        <f t="shared" si="20"/>
        <v>0.10011041589988959</v>
      </c>
      <c r="J91" s="364" t="str">
        <f t="shared" si="20"/>
        <v>N/A</v>
      </c>
      <c r="K91" s="364">
        <f t="shared" si="20"/>
        <v>1.2513801987486198E-2</v>
      </c>
      <c r="L91" s="364">
        <f t="shared" si="20"/>
        <v>0.11372837688627162</v>
      </c>
      <c r="M91" s="364">
        <f t="shared" si="20"/>
        <v>4.1405962458594035E-2</v>
      </c>
      <c r="N91" s="364">
        <f t="shared" si="20"/>
        <v>1.417004048582996E-2</v>
      </c>
      <c r="O91" s="364" t="str">
        <f t="shared" si="20"/>
        <v>N/A</v>
      </c>
      <c r="P91" s="364">
        <f>P105</f>
        <v>0.99999999999999989</v>
      </c>
      <c r="Q91" s="362"/>
      <c r="R91" s="378" t="s">
        <v>941</v>
      </c>
    </row>
    <row r="92" spans="3:18" hidden="1" x14ac:dyDescent="0.35">
      <c r="C92" s="378"/>
      <c r="D92" s="362">
        <v>3.665</v>
      </c>
      <c r="E92" s="362">
        <v>0.88500000000000001</v>
      </c>
      <c r="F92" s="362">
        <v>2.08</v>
      </c>
      <c r="G92" s="362" t="s">
        <v>517</v>
      </c>
      <c r="H92" s="362" t="s">
        <v>517</v>
      </c>
      <c r="I92" s="362" t="s">
        <v>517</v>
      </c>
      <c r="J92" s="362" t="s">
        <v>517</v>
      </c>
      <c r="K92" s="362" t="s">
        <v>517</v>
      </c>
      <c r="L92" s="362">
        <v>5.3999999999999999E-2</v>
      </c>
      <c r="M92" s="362" t="s">
        <v>517</v>
      </c>
      <c r="N92" s="362">
        <v>6.7000000000000004E-2</v>
      </c>
      <c r="O92" s="377" t="s">
        <v>517</v>
      </c>
      <c r="P92" s="359">
        <f t="shared" ref="P92:P101" si="21">SUM(D92:O92)</f>
        <v>6.7510000000000003</v>
      </c>
      <c r="Q92" s="362"/>
      <c r="R92" s="378"/>
    </row>
    <row r="93" spans="3:18" hidden="1" x14ac:dyDescent="0.35">
      <c r="C93" s="378" t="s">
        <v>942</v>
      </c>
      <c r="D93" s="526">
        <f>D92/$P$92</f>
        <v>0.54288253592060431</v>
      </c>
      <c r="E93" s="526">
        <f>E92/$P$92</f>
        <v>0.13109169011998223</v>
      </c>
      <c r="F93" s="526">
        <f>F92/$P$92</f>
        <v>0.30810250333283956</v>
      </c>
      <c r="G93" s="362" t="s">
        <v>517</v>
      </c>
      <c r="H93" s="362" t="s">
        <v>517</v>
      </c>
      <c r="I93" s="362" t="s">
        <v>517</v>
      </c>
      <c r="J93" s="362" t="s">
        <v>517</v>
      </c>
      <c r="K93" s="362" t="s">
        <v>517</v>
      </c>
      <c r="L93" s="526">
        <f>L92/$P$92</f>
        <v>7.9988149903717966E-3</v>
      </c>
      <c r="M93" s="362" t="s">
        <v>517</v>
      </c>
      <c r="N93" s="526">
        <f>N92/$P$92</f>
        <v>9.9244556362020446E-3</v>
      </c>
      <c r="O93" s="377" t="s">
        <v>517</v>
      </c>
      <c r="P93" s="364">
        <f t="shared" si="21"/>
        <v>0.99999999999999989</v>
      </c>
      <c r="Q93" s="362"/>
      <c r="R93" s="378" t="s">
        <v>934</v>
      </c>
    </row>
    <row r="94" spans="3:18" hidden="1" x14ac:dyDescent="0.35">
      <c r="C94" s="378"/>
      <c r="D94" s="362">
        <v>3.665</v>
      </c>
      <c r="E94" s="362">
        <v>0.88500000000000001</v>
      </c>
      <c r="F94" s="362">
        <v>2.08</v>
      </c>
      <c r="G94" s="362" t="s">
        <v>517</v>
      </c>
      <c r="H94" s="362" t="s">
        <v>517</v>
      </c>
      <c r="I94" s="362" t="s">
        <v>517</v>
      </c>
      <c r="J94" s="362" t="s">
        <v>517</v>
      </c>
      <c r="K94" s="362" t="s">
        <v>517</v>
      </c>
      <c r="L94" s="362">
        <v>5.3999999999999999E-2</v>
      </c>
      <c r="M94" s="362" t="s">
        <v>517</v>
      </c>
      <c r="N94" s="362">
        <v>6.7000000000000004E-2</v>
      </c>
      <c r="O94" s="377" t="s">
        <v>517</v>
      </c>
      <c r="P94" s="359">
        <f t="shared" si="21"/>
        <v>6.7510000000000003</v>
      </c>
      <c r="Q94" s="362" t="s">
        <v>943</v>
      </c>
      <c r="R94" s="378"/>
    </row>
    <row r="95" spans="3:18" hidden="1" x14ac:dyDescent="0.35">
      <c r="C95" s="378" t="s">
        <v>944</v>
      </c>
      <c r="D95" s="524">
        <f>D92/$P$92</f>
        <v>0.54288253592060431</v>
      </c>
      <c r="E95" s="524">
        <f>E92/$P$92</f>
        <v>0.13109169011998223</v>
      </c>
      <c r="F95" s="524">
        <f>F92/$P$92</f>
        <v>0.30810250333283956</v>
      </c>
      <c r="G95" s="362" t="s">
        <v>517</v>
      </c>
      <c r="H95" s="362" t="s">
        <v>517</v>
      </c>
      <c r="I95" s="362" t="s">
        <v>517</v>
      </c>
      <c r="J95" s="362" t="s">
        <v>517</v>
      </c>
      <c r="K95" s="362" t="s">
        <v>517</v>
      </c>
      <c r="L95" s="524">
        <f>L92/$P$92</f>
        <v>7.9988149903717966E-3</v>
      </c>
      <c r="M95" s="362" t="s">
        <v>517</v>
      </c>
      <c r="N95" s="524">
        <f>N92/$P$92</f>
        <v>9.9244556362020446E-3</v>
      </c>
      <c r="O95" s="377" t="s">
        <v>517</v>
      </c>
      <c r="P95" s="364">
        <f t="shared" si="21"/>
        <v>0.99999999999999989</v>
      </c>
      <c r="Q95" s="380"/>
      <c r="R95" s="378" t="s">
        <v>934</v>
      </c>
    </row>
    <row r="96" spans="3:18" hidden="1" x14ac:dyDescent="0.35">
      <c r="C96" s="378"/>
      <c r="D96" s="359">
        <v>44.1</v>
      </c>
      <c r="E96" s="359">
        <v>11</v>
      </c>
      <c r="F96" s="359">
        <v>7.41</v>
      </c>
      <c r="G96" s="359">
        <v>74.2</v>
      </c>
      <c r="H96" s="362" t="s">
        <v>517</v>
      </c>
      <c r="I96" s="362">
        <v>5.87</v>
      </c>
      <c r="J96" s="362" t="s">
        <v>517</v>
      </c>
      <c r="K96" s="362" t="s">
        <v>517</v>
      </c>
      <c r="L96" s="362">
        <v>2.4700000000000002</v>
      </c>
      <c r="M96" s="377">
        <v>3.63</v>
      </c>
      <c r="N96" s="359">
        <v>4</v>
      </c>
      <c r="O96" s="377" t="s">
        <v>517</v>
      </c>
      <c r="P96" s="359">
        <f t="shared" si="21"/>
        <v>152.68</v>
      </c>
      <c r="Q96" s="362" t="s">
        <v>945</v>
      </c>
      <c r="R96" s="378"/>
    </row>
    <row r="97" spans="3:18" hidden="1" x14ac:dyDescent="0.35">
      <c r="C97" s="378" t="s">
        <v>946</v>
      </c>
      <c r="D97" s="524">
        <f>D96/$P$96</f>
        <v>0.28883940267225572</v>
      </c>
      <c r="E97" s="524">
        <f>E96/$P$96</f>
        <v>7.2046109510086456E-2</v>
      </c>
      <c r="F97" s="524">
        <f>F96/$P$96</f>
        <v>4.8532879224521874E-2</v>
      </c>
      <c r="G97" s="524">
        <f>G96/$P$96</f>
        <v>0.48598375687712864</v>
      </c>
      <c r="H97" s="362" t="s">
        <v>517</v>
      </c>
      <c r="I97" s="524">
        <f>I96/$P$96</f>
        <v>3.8446423893109774E-2</v>
      </c>
      <c r="J97" s="362" t="s">
        <v>517</v>
      </c>
      <c r="K97" s="362" t="s">
        <v>517</v>
      </c>
      <c r="L97" s="524">
        <f>L96/$P$96</f>
        <v>1.617762640817396E-2</v>
      </c>
      <c r="M97" s="524">
        <f>M96/$P$96</f>
        <v>2.3775216138328528E-2</v>
      </c>
      <c r="N97" s="524">
        <f>N96/$P$96</f>
        <v>2.6198585276395073E-2</v>
      </c>
      <c r="O97" s="377" t="s">
        <v>517</v>
      </c>
      <c r="P97" s="364">
        <f t="shared" si="21"/>
        <v>1.0000000000000002</v>
      </c>
      <c r="Q97" s="380"/>
      <c r="R97" s="378" t="s">
        <v>947</v>
      </c>
    </row>
    <row r="98" spans="3:18" hidden="1" x14ac:dyDescent="0.35">
      <c r="C98" s="378"/>
      <c r="D98" s="362">
        <f>D88*0.4</f>
        <v>14.540000000000001</v>
      </c>
      <c r="E98" s="362">
        <f>E88*0.4</f>
        <v>1.4000000000000001</v>
      </c>
      <c r="F98" s="362">
        <f>F88*0.4</f>
        <v>6.1680000000000001</v>
      </c>
      <c r="G98" s="362" t="s">
        <v>517</v>
      </c>
      <c r="H98" s="362" t="s">
        <v>517</v>
      </c>
      <c r="I98" s="362" t="s">
        <v>517</v>
      </c>
      <c r="J98" s="362" t="s">
        <v>517</v>
      </c>
      <c r="K98" s="362" t="s">
        <v>517</v>
      </c>
      <c r="L98" s="377" t="s">
        <v>517</v>
      </c>
      <c r="M98" s="377" t="s">
        <v>517</v>
      </c>
      <c r="N98" s="377">
        <f>N88*0.4</f>
        <v>3.2</v>
      </c>
      <c r="O98" s="377" t="s">
        <v>517</v>
      </c>
      <c r="P98" s="359">
        <f t="shared" si="21"/>
        <v>25.308</v>
      </c>
      <c r="Q98" s="362" t="s">
        <v>948</v>
      </c>
      <c r="R98" s="378"/>
    </row>
    <row r="99" spans="3:18" hidden="1" x14ac:dyDescent="0.35">
      <c r="C99" s="378" t="s">
        <v>949</v>
      </c>
      <c r="D99" s="524">
        <f>D98/$P$98</f>
        <v>0.57452189031136403</v>
      </c>
      <c r="E99" s="524">
        <f>E98/$P$98</f>
        <v>5.5318476371107955E-2</v>
      </c>
      <c r="F99" s="524">
        <f>F98/$P$98</f>
        <v>0.24371740161213845</v>
      </c>
      <c r="G99" s="362" t="s">
        <v>517</v>
      </c>
      <c r="H99" s="362" t="s">
        <v>517</v>
      </c>
      <c r="I99" s="362" t="s">
        <v>517</v>
      </c>
      <c r="J99" s="362" t="s">
        <v>517</v>
      </c>
      <c r="K99" s="362" t="s">
        <v>517</v>
      </c>
      <c r="L99" s="362" t="s">
        <v>517</v>
      </c>
      <c r="M99" s="362" t="s">
        <v>517</v>
      </c>
      <c r="N99" s="524">
        <f>N98/$P$98</f>
        <v>0.1264422317053896</v>
      </c>
      <c r="O99" s="377" t="s">
        <v>517</v>
      </c>
      <c r="P99" s="364">
        <f t="shared" si="21"/>
        <v>1</v>
      </c>
      <c r="Q99" s="380"/>
      <c r="R99" s="378" t="s">
        <v>950</v>
      </c>
    </row>
    <row r="100" spans="3:18" hidden="1" x14ac:dyDescent="0.35">
      <c r="C100" s="378"/>
      <c r="D100" s="525">
        <f>D88*0.7</f>
        <v>25.445</v>
      </c>
      <c r="E100" s="525">
        <f>E88*0.7</f>
        <v>2.4499999999999997</v>
      </c>
      <c r="F100" s="525">
        <f>F88*0.7</f>
        <v>10.793999999999999</v>
      </c>
      <c r="G100" s="362" t="s">
        <v>517</v>
      </c>
      <c r="H100" s="362" t="s">
        <v>517</v>
      </c>
      <c r="I100" s="362" t="s">
        <v>517</v>
      </c>
      <c r="J100" s="362" t="s">
        <v>517</v>
      </c>
      <c r="K100" s="362" t="s">
        <v>517</v>
      </c>
      <c r="L100" s="525">
        <f>L88*0.7</f>
        <v>3.4580000000000002</v>
      </c>
      <c r="M100" s="525">
        <f>M88*0.7</f>
        <v>2.8559999999999999</v>
      </c>
      <c r="N100" s="525">
        <f>N88*0.7</f>
        <v>5.6</v>
      </c>
      <c r="O100" s="377" t="s">
        <v>517</v>
      </c>
      <c r="P100" s="359">
        <f t="shared" si="21"/>
        <v>50.603000000000002</v>
      </c>
      <c r="Q100" s="362" t="s">
        <v>948</v>
      </c>
      <c r="R100" s="378"/>
    </row>
    <row r="101" spans="3:18" hidden="1" x14ac:dyDescent="0.35">
      <c r="C101" s="481" t="s">
        <v>951</v>
      </c>
      <c r="D101" s="524">
        <f>D100/$P$100</f>
        <v>0.5028358002489971</v>
      </c>
      <c r="E101" s="524">
        <f>E100/$P$100</f>
        <v>4.8416101812145521E-2</v>
      </c>
      <c r="F101" s="524">
        <f>F100/$P$100</f>
        <v>0.21330751141236681</v>
      </c>
      <c r="G101" s="362" t="s">
        <v>517</v>
      </c>
      <c r="H101" s="362" t="s">
        <v>517</v>
      </c>
      <c r="I101" s="362" t="s">
        <v>517</v>
      </c>
      <c r="J101" s="362" t="s">
        <v>517</v>
      </c>
      <c r="K101" s="362" t="s">
        <v>517</v>
      </c>
      <c r="L101" s="524">
        <f>L100/$P$100</f>
        <v>6.8335869414856823E-2</v>
      </c>
      <c r="M101" s="524">
        <f>M100/$P$100</f>
        <v>5.6439341541015348E-2</v>
      </c>
      <c r="N101" s="524">
        <f>N100/$P$100</f>
        <v>0.11066537557061833</v>
      </c>
      <c r="O101" s="377" t="s">
        <v>517</v>
      </c>
      <c r="P101" s="364">
        <f t="shared" si="21"/>
        <v>0.99999999999999989</v>
      </c>
      <c r="Q101" s="381"/>
      <c r="R101" s="378" t="s">
        <v>952</v>
      </c>
    </row>
    <row r="102" spans="3:18" hidden="1" x14ac:dyDescent="0.35">
      <c r="C102" s="378"/>
      <c r="D102" s="525">
        <f>D104</f>
        <v>187.98306956201696</v>
      </c>
      <c r="E102" s="525">
        <f t="shared" ref="E102:O102" si="22">E104</f>
        <v>28.197460434302542</v>
      </c>
      <c r="F102" s="525">
        <f t="shared" si="22"/>
        <v>121.56238498343762</v>
      </c>
      <c r="G102" s="525">
        <f t="shared" si="22"/>
        <v>151.26370997423632</v>
      </c>
      <c r="H102" s="525" t="str">
        <f t="shared" si="22"/>
        <v>N/A</v>
      </c>
      <c r="I102" s="525">
        <f t="shared" si="22"/>
        <v>68.17519322782482</v>
      </c>
      <c r="J102" s="525" t="str">
        <f t="shared" si="22"/>
        <v>N/A</v>
      </c>
      <c r="K102" s="525">
        <f t="shared" si="22"/>
        <v>8.5218991534781026</v>
      </c>
      <c r="L102" s="525">
        <f t="shared" si="22"/>
        <v>77.449024659550986</v>
      </c>
      <c r="M102" s="525">
        <f t="shared" si="22"/>
        <v>28.197460434302542</v>
      </c>
      <c r="N102" s="525">
        <f t="shared" si="22"/>
        <v>9.649797570850204</v>
      </c>
      <c r="O102" s="525">
        <f t="shared" si="22"/>
        <v>0</v>
      </c>
      <c r="P102" s="525">
        <f>P104</f>
        <v>681.00000000000011</v>
      </c>
      <c r="Q102" s="362" t="s">
        <v>938</v>
      </c>
      <c r="R102" s="378"/>
    </row>
    <row r="103" spans="3:18" hidden="1" x14ac:dyDescent="0.35">
      <c r="C103" s="378" t="s">
        <v>953</v>
      </c>
      <c r="D103" s="527" t="e">
        <f>D102/$P$106</f>
        <v>#VALUE!</v>
      </c>
      <c r="E103" s="527" t="e">
        <f>IF(E102="N/A","N/A",E102/$P$106)</f>
        <v>#VALUE!</v>
      </c>
      <c r="F103" s="527" t="e">
        <f>F102/$P$106</f>
        <v>#VALUE!</v>
      </c>
      <c r="G103" s="527" t="e">
        <f>IF(D6=C156,"N/A",G102/$P$106)</f>
        <v>#VALUE!</v>
      </c>
      <c r="H103" s="527" t="e">
        <f>IF(D5=C157,"N/A",H102/$P$106)</f>
        <v>#VALUE!</v>
      </c>
      <c r="I103" s="527" t="e">
        <f t="shared" ref="I103:O103" si="23">I102/$P$106</f>
        <v>#VALUE!</v>
      </c>
      <c r="J103" s="527" t="e">
        <f t="shared" si="23"/>
        <v>#VALUE!</v>
      </c>
      <c r="K103" s="527" t="e">
        <f t="shared" si="23"/>
        <v>#VALUE!</v>
      </c>
      <c r="L103" s="527" t="e">
        <f t="shared" si="23"/>
        <v>#VALUE!</v>
      </c>
      <c r="M103" s="527" t="e">
        <f t="shared" si="23"/>
        <v>#VALUE!</v>
      </c>
      <c r="N103" s="527" t="e">
        <f t="shared" si="23"/>
        <v>#VALUE!</v>
      </c>
      <c r="O103" s="527" t="e">
        <f t="shared" si="23"/>
        <v>#VALUE!</v>
      </c>
      <c r="P103" s="364" t="e">
        <f t="shared" ref="P103:P108" si="24">SUM(D103:O103)</f>
        <v>#VALUE!</v>
      </c>
      <c r="Q103" s="381"/>
      <c r="R103" s="378" t="s">
        <v>954</v>
      </c>
    </row>
    <row r="104" spans="3:18" hidden="1" x14ac:dyDescent="0.35">
      <c r="C104" s="378"/>
      <c r="D104" s="365">
        <v>187.98306956201696</v>
      </c>
      <c r="E104" s="382">
        <v>28.197460434302542</v>
      </c>
      <c r="F104" s="365">
        <v>121.56238498343762</v>
      </c>
      <c r="G104" s="365">
        <v>151.26370997423632</v>
      </c>
      <c r="H104" s="524" t="str">
        <f>H106</f>
        <v>N/A</v>
      </c>
      <c r="I104" s="365">
        <v>68.17519322782482</v>
      </c>
      <c r="J104" s="365" t="s">
        <v>517</v>
      </c>
      <c r="K104" s="365">
        <v>8.5218991534781026</v>
      </c>
      <c r="L104" s="382">
        <v>77.449024659550986</v>
      </c>
      <c r="M104" s="365">
        <v>28.197460434302542</v>
      </c>
      <c r="N104" s="365">
        <v>9.649797570850204</v>
      </c>
      <c r="O104" s="365">
        <v>0</v>
      </c>
      <c r="P104" s="374">
        <f t="shared" si="24"/>
        <v>681.00000000000011</v>
      </c>
      <c r="Q104" s="362" t="s">
        <v>955</v>
      </c>
      <c r="R104" s="378" t="s">
        <v>956</v>
      </c>
    </row>
    <row r="105" spans="3:18" hidden="1" x14ac:dyDescent="0.35">
      <c r="C105" s="378" t="s">
        <v>957</v>
      </c>
      <c r="D105" s="527">
        <f>SUM(D104/$P$104)</f>
        <v>0.27603974972396028</v>
      </c>
      <c r="E105" s="527">
        <f>SUM(E104/$P$104)</f>
        <v>4.1405962458594035E-2</v>
      </c>
      <c r="F105" s="527">
        <f>SUM(F104/$P$104)</f>
        <v>0.17850570482149428</v>
      </c>
      <c r="G105" s="527">
        <f>SUM(G104/$P$104)</f>
        <v>0.22211998527788002</v>
      </c>
      <c r="H105" s="365" t="s">
        <v>517</v>
      </c>
      <c r="I105" s="527">
        <f>SUM(I104/$P$104)</f>
        <v>0.10011041589988959</v>
      </c>
      <c r="J105" s="365" t="s">
        <v>517</v>
      </c>
      <c r="K105" s="527">
        <f>SUM(K104/$P$104)</f>
        <v>1.2513801987486198E-2</v>
      </c>
      <c r="L105" s="527">
        <f>SUM(L104/$P$104)</f>
        <v>0.11372837688627162</v>
      </c>
      <c r="M105" s="527">
        <f>SUM(M104/$P$104)</f>
        <v>4.1405962458594035E-2</v>
      </c>
      <c r="N105" s="527">
        <f>SUM(N104/$P$104)</f>
        <v>1.417004048582996E-2</v>
      </c>
      <c r="O105" s="365" t="s">
        <v>517</v>
      </c>
      <c r="P105" s="364">
        <f t="shared" si="24"/>
        <v>0.99999999999999989</v>
      </c>
      <c r="Q105" s="362"/>
      <c r="R105" s="378"/>
    </row>
    <row r="106" spans="3:18" ht="15" hidden="1" customHeight="1" x14ac:dyDescent="0.35">
      <c r="C106" s="378"/>
      <c r="D106" s="359" t="e">
        <f>IF($E$15=$G$126,2103,2103-E106)</f>
        <v>#VALUE!</v>
      </c>
      <c r="E106" s="383" t="str">
        <f>IF($D$9=$G$125,(2103*0.5/4)*3*$H$9,"N/A")</f>
        <v>N/A</v>
      </c>
      <c r="F106" s="359">
        <v>1818</v>
      </c>
      <c r="G106" s="384">
        <f>IF($D$10=$C$161,2151,IF($D$10=$C$160,"N/A",IF($D$10=$C$162,2151*0.89)))</f>
        <v>2151</v>
      </c>
      <c r="H106" s="385" t="str">
        <f>IF($D$10=$C$160,2151,IF($D$10=$C$161,"N/A",IF($D$10=$C$162,2151*0.11)))</f>
        <v>N/A</v>
      </c>
      <c r="I106" s="359">
        <v>1191</v>
      </c>
      <c r="J106" s="359">
        <v>841</v>
      </c>
      <c r="K106" s="359">
        <v>95</v>
      </c>
      <c r="L106" s="359">
        <f>8199*$L$85</f>
        <v>197.36409706656269</v>
      </c>
      <c r="M106" s="359">
        <f>8199*$M$85</f>
        <v>163.00516518857808</v>
      </c>
      <c r="N106" s="359">
        <f>8199*$N$85</f>
        <v>319.61797095799625</v>
      </c>
      <c r="O106" s="359">
        <f>8199*$O$85</f>
        <v>1990.4209141409217</v>
      </c>
      <c r="P106" s="359" t="e">
        <f t="shared" si="24"/>
        <v>#VALUE!</v>
      </c>
      <c r="Q106" s="362" t="s">
        <v>955</v>
      </c>
      <c r="R106" s="386" t="s">
        <v>958</v>
      </c>
    </row>
    <row r="107" spans="3:18" hidden="1" x14ac:dyDescent="0.35">
      <c r="C107" s="481" t="s">
        <v>959</v>
      </c>
      <c r="D107" s="527" t="e">
        <f>$D$106/$P$106</f>
        <v>#VALUE!</v>
      </c>
      <c r="E107" s="527" t="str">
        <f>IF($E$106="N/A","N/A",$E$106/$P$106)</f>
        <v>N/A</v>
      </c>
      <c r="F107" s="527" t="e">
        <f>$F$106/$P$106</f>
        <v>#VALUE!</v>
      </c>
      <c r="G107" s="527" t="e">
        <f>IF($D$10=$C$160,"N/A",$G$106/$P$106)</f>
        <v>#VALUE!</v>
      </c>
      <c r="H107" s="527" t="str">
        <f>IF($D$10=$C$161,"N/A",$H$106/$P$106)</f>
        <v>N/A</v>
      </c>
      <c r="I107" s="527" t="e">
        <f>$I$106/$P$106</f>
        <v>#VALUE!</v>
      </c>
      <c r="J107" s="527" t="e">
        <f>$J$106/$P$106</f>
        <v>#VALUE!</v>
      </c>
      <c r="K107" s="527" t="e">
        <f>$K$106/$P$106</f>
        <v>#VALUE!</v>
      </c>
      <c r="L107" s="527" t="e">
        <f>$L$106/$P$106</f>
        <v>#VALUE!</v>
      </c>
      <c r="M107" s="527" t="e">
        <f>$M$106/$P$106</f>
        <v>#VALUE!</v>
      </c>
      <c r="N107" s="527" t="e">
        <f>$N$106/$P$106</f>
        <v>#VALUE!</v>
      </c>
      <c r="O107" s="527" t="e">
        <f>$O$106/$P$106</f>
        <v>#VALUE!</v>
      </c>
      <c r="P107" s="364" t="e">
        <f t="shared" si="24"/>
        <v>#VALUE!</v>
      </c>
      <c r="Q107" s="378"/>
      <c r="R107" s="378"/>
    </row>
    <row r="108" spans="3:18" hidden="1" x14ac:dyDescent="0.35">
      <c r="C108" s="378" t="s">
        <v>960</v>
      </c>
      <c r="D108" s="527" t="e">
        <f>$D$106/$P$106</f>
        <v>#VALUE!</v>
      </c>
      <c r="E108" s="527" t="str">
        <f>IF($E$106="N/A","N/A",$E$106/$P$106)</f>
        <v>N/A</v>
      </c>
      <c r="F108" s="527" t="e">
        <f>$F$106/$P$106</f>
        <v>#VALUE!</v>
      </c>
      <c r="G108" s="527" t="e">
        <f>IF($D$10=$C$160,"N/A",$G$106/$P$106)</f>
        <v>#VALUE!</v>
      </c>
      <c r="H108" s="527" t="str">
        <f>IF($D$10=$C$161,"N/A",$H$106/$P$106)</f>
        <v>N/A</v>
      </c>
      <c r="I108" s="527" t="e">
        <f>$I$106/$P$106</f>
        <v>#VALUE!</v>
      </c>
      <c r="J108" s="527" t="e">
        <f>$J$106/$P$106</f>
        <v>#VALUE!</v>
      </c>
      <c r="K108" s="527" t="e">
        <f>$K$106/$P$106</f>
        <v>#VALUE!</v>
      </c>
      <c r="L108" s="527" t="e">
        <f>$L$106/$P$106</f>
        <v>#VALUE!</v>
      </c>
      <c r="M108" s="527" t="e">
        <f>$M$106/$P$106</f>
        <v>#VALUE!</v>
      </c>
      <c r="N108" s="527" t="e">
        <f>$N$106/$P$106</f>
        <v>#VALUE!</v>
      </c>
      <c r="O108" s="527" t="e">
        <f>$O$106/$P$106</f>
        <v>#VALUE!</v>
      </c>
      <c r="P108" s="364" t="e">
        <f t="shared" si="24"/>
        <v>#VALUE!</v>
      </c>
      <c r="Q108" s="381"/>
      <c r="R108" s="378"/>
    </row>
    <row r="109" spans="3:18" hidden="1" x14ac:dyDescent="0.35">
      <c r="C109" s="381"/>
      <c r="D109" s="528"/>
      <c r="E109" s="528"/>
      <c r="F109" s="528"/>
      <c r="G109" s="528"/>
      <c r="H109" s="528"/>
      <c r="I109" s="528"/>
      <c r="J109" s="528"/>
      <c r="K109" s="528"/>
      <c r="L109" s="528"/>
      <c r="M109" s="528"/>
      <c r="N109" s="528"/>
      <c r="O109" s="528"/>
      <c r="P109" s="477"/>
      <c r="Q109" s="381"/>
      <c r="R109" s="378"/>
    </row>
    <row r="110" spans="3:18" hidden="1" x14ac:dyDescent="0.35">
      <c r="C110" s="348"/>
      <c r="D110" s="529"/>
      <c r="E110" s="387"/>
      <c r="F110" s="367"/>
      <c r="G110" s="360"/>
      <c r="H110" s="367"/>
      <c r="I110" s="367"/>
      <c r="J110" s="367"/>
      <c r="K110" s="367"/>
      <c r="L110" s="367"/>
      <c r="M110" s="367"/>
      <c r="N110" s="367"/>
      <c r="O110" s="387"/>
      <c r="P110" s="388"/>
      <c r="Q110" s="348"/>
      <c r="R110" s="378" t="s">
        <v>961</v>
      </c>
    </row>
    <row r="111" spans="3:18" hidden="1" x14ac:dyDescent="0.35">
      <c r="C111" s="348"/>
      <c r="D111" s="362" t="str">
        <f>IF(ISERROR(IF(OR(Wat01_building_type="",Wat01_building_type=$G$124),"Applicable",IF(VLOOKUP(Wat01_building_type,$C$83:$O$108,2,FALSE)="N/A","Not Applicable","Applicable"))),"-",IF(OR(Wat01_building_type="",Wat01_building_type=$G$124),"Applicable",IF(VLOOKUP(Wat01_building_type,$C$83:$O$108,2,FALSE)="N/A","Not Applicable","Applicable")))</f>
        <v>Applicable</v>
      </c>
      <c r="E111" s="362" t="str">
        <f>IF(ISERROR(IF(OR(Wat01_building_type="",Wat01_building_type=$G$124),"Applicable",IF(VLOOKUP(Wat01_building_type,$C$83:$O$108,3,FALSE)="N/A","Not Applicable","Applicable"))),"-",IF(OR(Wat01_building_type="",Wat01_building_type=$G$124),"Applicable",IF(VLOOKUP(Wat01_building_type,$C$83:$O$108,3,FALSE)="N/A","Not Applicable","Applicable")))</f>
        <v>Applicable</v>
      </c>
      <c r="F111" s="362" t="str">
        <f>IF(ISERROR(IF(OR(Wat01_building_type="",Wat01_building_type=$G$124),"Applicable",IF(VLOOKUP(Wat01_building_type,$C$83:$O$108,4,FALSE)="N/A","Not Applicable","Applicable"))),"-",IF(OR(Wat01_building_type="",Wat01_building_type=$G$124),"Applicable",IF(VLOOKUP(Wat01_building_type,$C$83:$O$108,4,FALSE)="N/A","Not Applicable","Applicable")))</f>
        <v>Applicable</v>
      </c>
      <c r="G111" s="362" t="str">
        <f>IF(ISERROR(IF(OR(Wat01_building_type="",Wat01_building_type=$G$124),"Applicable",IF(VLOOKUP(Wat01_building_type,$C$83:$O$108,5,FALSE)="N/A","Not Applicable","Applicable"))),"-",IF(OR(Wat01_building_type="",Wat01_building_type=$G$124),"Applicable",IF(VLOOKUP(Wat01_building_type,$C$83:$O$108,5,FALSE)="N/A","Not Applicable","Applicable")))</f>
        <v>Applicable</v>
      </c>
      <c r="H111" s="362" t="str">
        <f>IF(ISERROR(IF(OR(Wat01_building_type="",Wat01_building_type=$G$124),"Applicable",IF(VLOOKUP(Wat01_building_type,$C$83:$O$108,6,FALSE)="N/A","Not Applicable","Applicable"))),"-",IF(OR(Wat01_building_type="",Wat01_building_type=$G$124),"Applicable",IF(VLOOKUP(Wat01_building_type,$C$83:$O$108,6,FALSE)="N/A","Not Applicable","Applicable")))</f>
        <v>Applicable</v>
      </c>
      <c r="I111" s="362" t="str">
        <f>IF(ISERROR(IF(OR(Wat01_building_type="",Wat01_building_type=$G$124),"Applicable",IF(VLOOKUP(Wat01_building_type,$C$83:$O$108,7,FALSE)="N/A","Not Applicable","Applicable"))),"-",IF(OR(Wat01_building_type="",Wat01_building_type=$G$124),"Applicable",IF(VLOOKUP(Wat01_building_type,$C$83:$O$108,7,FALSE)="N/A","Not Applicable","Applicable")))</f>
        <v>Applicable</v>
      </c>
      <c r="J111" s="362" t="str">
        <f>IF(ISERROR(IF(OR(Wat01_building_type="",Wat01_building_type=$G$124),"Applicable",IF(VLOOKUP(Wat01_building_type,$C$83:$O$108,8,FALSE)="N/A","Not Applicable","Applicable"))),"-",IF(OR(Wat01_building_type="",Wat01_building_type=$G$124),"Applicable",IF(VLOOKUP(Wat01_building_type,$C$83:$O$108,8,FALSE)="N/A","Not Applicable","Applicable")))</f>
        <v>Not Applicable</v>
      </c>
      <c r="K111" s="362" t="str">
        <f>IF(ISERROR(IF(OR(Wat01_building_type="",Wat01_building_type=$G$124),"Applicable",IF(VLOOKUP(Wat01_building_type,$C$83:$O$108,9,FALSE)="N/A","Not Applicable","Applicable"))),"-",IF(OR(Wat01_building_type="",Wat01_building_type=$G$124),"Applicable",IF(VLOOKUP(Wat01_building_type,$C$83:$O$108,9,FALSE)="N/A","Not Applicable","Applicable")))</f>
        <v>Applicable</v>
      </c>
      <c r="L111" s="362" t="str">
        <f>IF(ISERROR(IF(OR(Wat01_building_type="",Wat01_building_type=$G$124),"Applicable",IF(VLOOKUP(Wat01_building_type,$C$83:$O$108,10,FALSE)="N/A","Not Applicable","Applicable"))),"-",IF(OR(Wat01_building_type="",Wat01_building_type=$G$124),"Applicable",IF(VLOOKUP(Wat01_building_type,$C$83:$O$108,10,FALSE)="N/A","Not Applicable","Applicable")))</f>
        <v>Applicable</v>
      </c>
      <c r="M111" s="362" t="str">
        <f>IF(ISERROR(IF(OR(Wat01_building_type="",Wat01_building_type=$G$124),"Applicable",IF(VLOOKUP(Wat01_building_type,$C$83:$O$108,11,FALSE)="N/A","Not Applicable","Applicable"))),"-",IF(OR(Wat01_building_type="",Wat01_building_type=$G$124),"Applicable",IF(VLOOKUP(Wat01_building_type,$C$83:$O$108,11,FALSE)="N/A","Not Applicable","Applicable")))</f>
        <v>Applicable</v>
      </c>
      <c r="N111" s="362" t="str">
        <f>IF(ISERROR(IF(OR(Wat01_building_type="",Wat01_building_type=$G$124),"Applicable",IF(VLOOKUP(Wat01_building_type,$C$83:$O$108,12,FALSE)="N/A","Not Applicable","Applicable"))),"-",IF(OR(Wat01_building_type="",Wat01_building_type=$G$124),"Applicable",IF(VLOOKUP(Wat01_building_type,$C$83:$O$108,12,FALSE)="N/A","Not Applicable","Applicable")))</f>
        <v>Applicable</v>
      </c>
      <c r="O111" s="362" t="str">
        <f>IF(ISERROR(IF(OR(Wat01_building_type="",Wat01_building_type=$G$124),"Applicable",IF(VLOOKUP(Wat01_building_type,$C$83:$O$108,13,FALSE)="N/A","Not Applicable","Applicable"))),"-",IF(OR(Wat01_building_type="",Wat01_building_type=$G$124),"Applicable",IF(VLOOKUP(Wat01_building_type,$C$83:$O$108,13,FALSE)="N/A","Not Applicable","Applicable")))</f>
        <v>Applicable</v>
      </c>
      <c r="P111" s="349"/>
      <c r="Q111" s="348"/>
      <c r="R111" s="378" t="s">
        <v>962</v>
      </c>
    </row>
    <row r="112" spans="3:18" hidden="1" x14ac:dyDescent="0.35">
      <c r="C112" s="348"/>
      <c r="D112" s="349"/>
      <c r="E112" s="349"/>
      <c r="F112" s="349"/>
      <c r="G112" s="349"/>
      <c r="H112" s="349"/>
      <c r="I112" s="349"/>
      <c r="J112" s="349"/>
      <c r="K112" s="349"/>
      <c r="L112" s="349"/>
      <c r="M112" s="349"/>
      <c r="N112" s="349"/>
      <c r="O112" s="349"/>
      <c r="P112" s="349"/>
      <c r="Q112" s="348"/>
      <c r="R112" s="348"/>
    </row>
    <row r="113" spans="3:18" hidden="1" x14ac:dyDescent="0.35">
      <c r="C113" s="389" t="s">
        <v>963</v>
      </c>
      <c r="D113" s="524" t="str">
        <f>IF(AND(D15=$G$125,D16=$G$135),VLOOKUP(Wat01_building_type,$C$83:$O$108,2,FALSE),"N/A")</f>
        <v>N/A</v>
      </c>
      <c r="E113" s="524">
        <f>IF(AND(E15=$G$125,E16=$G$135),VLOOKUP(Wat01_building_type,$C$83:$O$108,3,FALSE),"N/A")</f>
        <v>1.7054867946593898E-2</v>
      </c>
      <c r="F113" s="524" t="str">
        <f>IF(AND(F15=$G$125,F16=$G$135),VLOOKUP(Wat01_building_type,$C$83:$O$108,4,FALSE),"N/A")</f>
        <v>N/A</v>
      </c>
      <c r="G113" s="524" t="str">
        <f>IF(AND(G15=$G$125,G16=$G$135),VLOOKUP(Wat01_building_type,$C$83:$O$108,5,FALSE),"N/A")</f>
        <v>N/A</v>
      </c>
      <c r="H113" s="524" t="str">
        <f>IF(AND(H15=$G$125,H16=$G$135),VLOOKUP(Wat01_building_type,$C$83:$O$108,6,FALSE),"N/A")</f>
        <v>N/A</v>
      </c>
      <c r="I113" s="524" t="str">
        <f>IF(AND(I15=$G$125,I16=$G$135),VLOOKUP(Wat01_building_type,$C$83:$O$108,7,FALSE),"N/A")</f>
        <v>N/A</v>
      </c>
      <c r="J113" s="524" t="str">
        <f>IF(AND(J15=$G$125,J16=$G$135),VLOOKUP(Wat01_building_type,$C$83:$O$108,8,FALSE),"N/A")</f>
        <v>N/A</v>
      </c>
      <c r="K113" s="524" t="str">
        <f>IF(AND(K15=$G$125,K16=$G$135),VLOOKUP(Wat01_building_type,$C$83:$O$108,9,FALSE),"N/A")</f>
        <v>N/A</v>
      </c>
      <c r="L113" s="524" t="str">
        <f>IF(AND(L15=$G$125,L16=$G$135),VLOOKUP(Wat01_building_type,$C$83:$O$108,10,FALSE),"N/A")</f>
        <v>N/A</v>
      </c>
      <c r="M113" s="524" t="str">
        <f>IF(AND(M15=$G$125,M16=$G$135),VLOOKUP(Wat01_building_type,$C$83:$O$108,11,FALSE),"N/A")</f>
        <v>N/A</v>
      </c>
      <c r="N113" s="524" t="str">
        <f>IF(AND(N15=$G$125,N16=$G$135),VLOOKUP(Wat01_building_type,$C$83:$O$108,12,FALSE),"N/A")</f>
        <v>N/A</v>
      </c>
      <c r="O113" s="524" t="str">
        <f>IF(AND(O15=$G$125,O16=$G$135),VLOOKUP(Wat01_building_type,$C$83:$O$108,13,FALSE),"N/A")</f>
        <v>N/A</v>
      </c>
      <c r="P113" s="364">
        <f>SUM(D113:O113)</f>
        <v>1.7054867946593898E-2</v>
      </c>
      <c r="Q113" s="348"/>
      <c r="R113" s="348"/>
    </row>
    <row r="114" spans="3:18" hidden="1" x14ac:dyDescent="0.35">
      <c r="C114" s="389" t="s">
        <v>964</v>
      </c>
      <c r="D114" s="524" t="str">
        <f>IF(D113="N/A","N/A",D113/$P$113)</f>
        <v>N/A</v>
      </c>
      <c r="E114" s="524">
        <f t="shared" ref="E114:O114" si="25">IF(E113="N/A","N/A",E113/$P$113)</f>
        <v>1</v>
      </c>
      <c r="F114" s="524" t="str">
        <f t="shared" si="25"/>
        <v>N/A</v>
      </c>
      <c r="G114" s="524" t="str">
        <f t="shared" si="25"/>
        <v>N/A</v>
      </c>
      <c r="H114" s="524" t="str">
        <f t="shared" si="25"/>
        <v>N/A</v>
      </c>
      <c r="I114" s="524" t="str">
        <f t="shared" si="25"/>
        <v>N/A</v>
      </c>
      <c r="J114" s="524" t="str">
        <f t="shared" si="25"/>
        <v>N/A</v>
      </c>
      <c r="K114" s="524" t="str">
        <f t="shared" si="25"/>
        <v>N/A</v>
      </c>
      <c r="L114" s="524" t="str">
        <f t="shared" si="25"/>
        <v>N/A</v>
      </c>
      <c r="M114" s="524" t="str">
        <f t="shared" si="25"/>
        <v>N/A</v>
      </c>
      <c r="N114" s="524" t="str">
        <f t="shared" si="25"/>
        <v>N/A</v>
      </c>
      <c r="O114" s="524" t="str">
        <f t="shared" si="25"/>
        <v>N/A</v>
      </c>
      <c r="P114" s="364">
        <f>SUM(D114:O114)</f>
        <v>1</v>
      </c>
      <c r="Q114" s="348"/>
      <c r="R114" s="348"/>
    </row>
    <row r="115" spans="3:18" hidden="1" x14ac:dyDescent="0.35">
      <c r="C115" s="348"/>
      <c r="D115" s="349"/>
      <c r="E115" s="349"/>
      <c r="F115" s="349"/>
      <c r="G115" s="349"/>
      <c r="H115" s="349"/>
      <c r="I115" s="349"/>
      <c r="J115" s="349"/>
      <c r="K115" s="349"/>
      <c r="L115" s="349"/>
      <c r="M115" s="349"/>
      <c r="N115" s="349"/>
      <c r="O115" s="349"/>
      <c r="P115" s="349"/>
      <c r="Q115" s="348"/>
      <c r="R115" s="348"/>
    </row>
    <row r="116" spans="3:18" hidden="1" x14ac:dyDescent="0.35">
      <c r="C116" s="348"/>
      <c r="D116" s="362" t="str">
        <f>IF($D$111="Applicable","Please select","Not Applicable")</f>
        <v>Please select</v>
      </c>
      <c r="E116" s="362" t="str">
        <f>IF($E$111="Applicable","Please select","Not Applicable")</f>
        <v>Please select</v>
      </c>
      <c r="F116" s="362" t="str">
        <f>IF($F$111="Applicable","Please select","Not Applicable")</f>
        <v>Please select</v>
      </c>
      <c r="G116" s="362" t="str">
        <f>IF($G$111="Applicable","Please select","Not Applicable")</f>
        <v>Please select</v>
      </c>
      <c r="H116" s="362" t="str">
        <f>IF($H$111="Applicable","Please select","Not Applicable")</f>
        <v>Please select</v>
      </c>
      <c r="I116" s="362" t="str">
        <f>IF($I$111="Applicable","Please select","Not Applicable")</f>
        <v>Please select</v>
      </c>
      <c r="J116" s="362" t="str">
        <f>IF($J$111="Applicable","Please select","Not Applicable")</f>
        <v>Not Applicable</v>
      </c>
      <c r="K116" s="362" t="str">
        <f>IF($K$111="Applicable","Please select","Not Applicable")</f>
        <v>Please select</v>
      </c>
      <c r="L116" s="362" t="str">
        <f>IF($L$111="Applicable","Please select","Not Applicable")</f>
        <v>Please select</v>
      </c>
      <c r="M116" s="362" t="str">
        <f>IF($M$111="Applicable","Please select","Not Applicable")</f>
        <v>Please select</v>
      </c>
      <c r="N116" s="362" t="str">
        <f>IF($N$111="Applicable","Please select","Not Applicable")</f>
        <v>Please select</v>
      </c>
      <c r="O116" s="362" t="str">
        <f>IF($O$111="Applicable","Please select","Not Applicable")</f>
        <v>Please select</v>
      </c>
      <c r="P116" s="349"/>
      <c r="Q116" s="349"/>
      <c r="R116" s="348"/>
    </row>
    <row r="117" spans="3:18" hidden="1" x14ac:dyDescent="0.35">
      <c r="C117" s="348"/>
      <c r="D117" s="362" t="str">
        <f>IF($D$111="Applicable","Baseline","")</f>
        <v>Baseline</v>
      </c>
      <c r="E117" s="362" t="str">
        <f>IF($E$111="Applicable","Baseline","")</f>
        <v>Baseline</v>
      </c>
      <c r="F117" s="362" t="str">
        <f>IF($F$111="Applicable","Baseline","")</f>
        <v>Baseline</v>
      </c>
      <c r="G117" s="362" t="str">
        <f>IF($G$111="Applicable","Baseline","")</f>
        <v>Baseline</v>
      </c>
      <c r="H117" s="362" t="str">
        <f>IF($H$111="Applicable","Baseline","")</f>
        <v>Baseline</v>
      </c>
      <c r="I117" s="362" t="str">
        <f>IF($I$111="Applicable","Baseline","")</f>
        <v>Baseline</v>
      </c>
      <c r="J117" s="362" t="str">
        <f>IF($J$111="Applicable","Baseline","")</f>
        <v/>
      </c>
      <c r="K117" s="362" t="str">
        <f>IF($K$111="Applicable","Baseline","")</f>
        <v>Baseline</v>
      </c>
      <c r="L117" s="362" t="str">
        <f>IF($L$111="Applicable","Baseline","")</f>
        <v>Baseline</v>
      </c>
      <c r="M117" s="362" t="str">
        <f>IF($M$111="Applicable","Baseline","")</f>
        <v>Baseline</v>
      </c>
      <c r="N117" s="362" t="str">
        <f>IF($N$111="Applicable","Baseline","")</f>
        <v>Baseline</v>
      </c>
      <c r="O117" s="362" t="str">
        <f>IF($O$111="Applicable","Baseline","")</f>
        <v>Baseline</v>
      </c>
      <c r="P117" s="349"/>
      <c r="Q117" s="349"/>
      <c r="R117" s="348"/>
    </row>
    <row r="118" spans="3:18" hidden="1" x14ac:dyDescent="0.35">
      <c r="C118" s="348"/>
      <c r="D118" s="362">
        <f>IF($D$111="Applicable",1,"")</f>
        <v>1</v>
      </c>
      <c r="E118" s="362">
        <f>IF($E$111="Applicable",1,"")</f>
        <v>1</v>
      </c>
      <c r="F118" s="362">
        <f>IF($F$111="Applicable",1,"")</f>
        <v>1</v>
      </c>
      <c r="G118" s="362">
        <f>IF($G$111="Applicable",1,"")</f>
        <v>1</v>
      </c>
      <c r="H118" s="362">
        <f>IF($H$111="Applicable",1,"")</f>
        <v>1</v>
      </c>
      <c r="I118" s="362">
        <f>IF($I$111="Applicable",1,"")</f>
        <v>1</v>
      </c>
      <c r="J118" s="362" t="str">
        <f>IF($J$111="Applicable",1,"")</f>
        <v/>
      </c>
      <c r="K118" s="362">
        <f>IF($K$111="Applicable",1,"")</f>
        <v>1</v>
      </c>
      <c r="L118" s="362">
        <f>IF($L$111="Applicable",1,"")</f>
        <v>1</v>
      </c>
      <c r="M118" s="362">
        <f>IF($M$111="Applicable",1,"")</f>
        <v>1</v>
      </c>
      <c r="N118" s="362">
        <f>IF($N$111="Applicable",1,"")</f>
        <v>1</v>
      </c>
      <c r="O118" s="362">
        <f>IF($O$111="Applicable",1,"")</f>
        <v>1</v>
      </c>
      <c r="P118" s="349"/>
      <c r="Q118" s="349"/>
      <c r="R118" s="348"/>
    </row>
    <row r="119" spans="3:18" hidden="1" x14ac:dyDescent="0.35">
      <c r="C119" s="348"/>
      <c r="D119" s="362">
        <f>IF($D$111="Applicable",2,"")</f>
        <v>2</v>
      </c>
      <c r="E119" s="362">
        <f>IF($E$111="Applicable",2,"")</f>
        <v>2</v>
      </c>
      <c r="F119" s="362">
        <f>IF($F$111="Applicable",2,"")</f>
        <v>2</v>
      </c>
      <c r="G119" s="362">
        <f>IF($G$111="Applicable",2,"")</f>
        <v>2</v>
      </c>
      <c r="H119" s="362">
        <f>IF($H$111="Applicable",2,"")</f>
        <v>2</v>
      </c>
      <c r="I119" s="362">
        <f>IF($I$111="Applicable",2,"")</f>
        <v>2</v>
      </c>
      <c r="J119" s="362" t="str">
        <f>IF($J$111="Applicable",2,"")</f>
        <v/>
      </c>
      <c r="K119" s="362">
        <f>IF($K$111="Applicable",2,"")</f>
        <v>2</v>
      </c>
      <c r="L119" s="362">
        <f>IF($L$111="Applicable",2,"")</f>
        <v>2</v>
      </c>
      <c r="M119" s="362">
        <f>IF($M$111="Applicable",2,"")</f>
        <v>2</v>
      </c>
      <c r="N119" s="362">
        <f>IF($N$111="Applicable",2,"")</f>
        <v>2</v>
      </c>
      <c r="O119" s="362">
        <f>IF($O$111="Applicable",2,"")</f>
        <v>2</v>
      </c>
      <c r="P119" s="349"/>
      <c r="Q119" s="349"/>
      <c r="R119" s="348"/>
    </row>
    <row r="120" spans="3:18" hidden="1" x14ac:dyDescent="0.35">
      <c r="C120" s="348"/>
      <c r="D120" s="362">
        <f>IF($D$111="Applicable",3,"")</f>
        <v>3</v>
      </c>
      <c r="E120" s="362">
        <f>IF($E$111="Applicable",3,"")</f>
        <v>3</v>
      </c>
      <c r="F120" s="362">
        <f>IF($F$111="Applicable",3,"")</f>
        <v>3</v>
      </c>
      <c r="G120" s="362">
        <f>IF($G$111="Applicable",3,"")</f>
        <v>3</v>
      </c>
      <c r="H120" s="362">
        <f>IF($H$111="Applicable",3,"")</f>
        <v>3</v>
      </c>
      <c r="I120" s="362">
        <f>IF($I$111="Applicable",3,"")</f>
        <v>3</v>
      </c>
      <c r="J120" s="362" t="str">
        <f>IF($J$111="Applicable",3,"")</f>
        <v/>
      </c>
      <c r="K120" s="362">
        <f>IF($K$111="Applicable",3,"")</f>
        <v>3</v>
      </c>
      <c r="L120" s="362">
        <f>IF($L$111="Applicable",3,"")</f>
        <v>3</v>
      </c>
      <c r="M120" s="362">
        <f>IF($M$111="Applicable",3,"")</f>
        <v>3</v>
      </c>
      <c r="N120" s="362">
        <f>IF($N$111="Applicable",3,"")</f>
        <v>3</v>
      </c>
      <c r="O120" s="362">
        <f>IF($O$111="Applicable",3,"")</f>
        <v>3</v>
      </c>
      <c r="P120" s="349"/>
      <c r="Q120" s="349"/>
      <c r="R120" s="348"/>
    </row>
    <row r="121" spans="3:18" hidden="1" x14ac:dyDescent="0.35">
      <c r="C121" s="348"/>
      <c r="D121" s="362">
        <f>IF($D$111="Applicable",4,"")</f>
        <v>4</v>
      </c>
      <c r="E121" s="362">
        <f>IF($E$111="Applicable",4,"")</f>
        <v>4</v>
      </c>
      <c r="F121" s="362">
        <f>IF($F$111="Applicable",4,"")</f>
        <v>4</v>
      </c>
      <c r="G121" s="362">
        <f>IF($G$111="Applicable",4,"")</f>
        <v>4</v>
      </c>
      <c r="H121" s="362">
        <f>IF($H$111="Applicable",4,"")</f>
        <v>4</v>
      </c>
      <c r="I121" s="362">
        <f>IF($I$111="Applicable",4,"")</f>
        <v>4</v>
      </c>
      <c r="J121" s="362" t="str">
        <f>IF($J$111="Applicable",4,"")</f>
        <v/>
      </c>
      <c r="K121" s="362">
        <f>IF($K$111="Applicable",4,"")</f>
        <v>4</v>
      </c>
      <c r="L121" s="362">
        <f>IF($L$111="Applicable",4,"")</f>
        <v>4</v>
      </c>
      <c r="M121" s="362">
        <f>IF($M$111="Applicable",4,"")</f>
        <v>4</v>
      </c>
      <c r="N121" s="362">
        <f>IF($N$111="Applicable",4,"")</f>
        <v>4</v>
      </c>
      <c r="O121" s="362">
        <f>IF($O$111="Applicable",4,"")</f>
        <v>4</v>
      </c>
      <c r="P121" s="349"/>
      <c r="Q121" s="349"/>
      <c r="R121" s="348"/>
    </row>
    <row r="122" spans="3:18" hidden="1" x14ac:dyDescent="0.35">
      <c r="C122" s="348"/>
      <c r="D122" s="362">
        <f>IF($D$111="Applicable",5,"")</f>
        <v>5</v>
      </c>
      <c r="E122" s="362">
        <f>IF($E$111="Applicable",5,"")</f>
        <v>5</v>
      </c>
      <c r="F122" s="362">
        <f>IF($F$111="Applicable",5,"")</f>
        <v>5</v>
      </c>
      <c r="G122" s="362">
        <f>IF($G$111="Applicable",5,"")</f>
        <v>5</v>
      </c>
      <c r="H122" s="362">
        <f>IF($H$111="Applicable",5,"")</f>
        <v>5</v>
      </c>
      <c r="I122" s="362">
        <f>IF($I$111="Applicable",5,"")</f>
        <v>5</v>
      </c>
      <c r="J122" s="362" t="str">
        <f>IF($J$111="Applicable",5,"")</f>
        <v/>
      </c>
      <c r="K122" s="362">
        <f>IF($K$111="Applicable",5,"")</f>
        <v>5</v>
      </c>
      <c r="L122" s="362">
        <f>IF($L$111="Applicable",5,"")</f>
        <v>5</v>
      </c>
      <c r="M122" s="362">
        <f>IF($M$111="Applicable",5,"")</f>
        <v>5</v>
      </c>
      <c r="N122" s="362">
        <f>IF($N$111="Applicable",5,"")</f>
        <v>5</v>
      </c>
      <c r="O122" s="362">
        <f>IF($O$111="Applicable",5,"")</f>
        <v>5</v>
      </c>
      <c r="P122" s="349"/>
      <c r="Q122" s="349"/>
      <c r="R122" s="348"/>
    </row>
    <row r="123" spans="3:18" hidden="1" x14ac:dyDescent="0.35">
      <c r="C123" s="348"/>
      <c r="D123" s="348"/>
      <c r="E123" s="348"/>
      <c r="F123" s="348"/>
      <c r="G123" s="348"/>
      <c r="H123" s="348"/>
      <c r="I123" s="348"/>
      <c r="J123" s="348"/>
      <c r="K123" s="348"/>
      <c r="L123" s="348"/>
      <c r="M123" s="348"/>
      <c r="N123" s="348"/>
      <c r="O123" s="348"/>
      <c r="P123" s="349"/>
      <c r="Q123" s="349"/>
      <c r="R123" s="348"/>
    </row>
    <row r="124" spans="3:18" hidden="1" x14ac:dyDescent="0.35">
      <c r="C124" s="362">
        <f>COUNTIF(D19:D63,D116)</f>
        <v>7</v>
      </c>
      <c r="D124" s="349"/>
      <c r="E124" s="350"/>
      <c r="F124" s="349"/>
      <c r="G124" s="378" t="s">
        <v>699</v>
      </c>
      <c r="H124" s="348"/>
      <c r="I124" s="348"/>
      <c r="J124" s="348"/>
      <c r="K124" s="348"/>
      <c r="L124" s="348"/>
      <c r="M124" s="349"/>
      <c r="N124" s="349"/>
      <c r="O124" s="349"/>
      <c r="P124" s="349"/>
      <c r="Q124" s="349"/>
      <c r="R124" s="348"/>
    </row>
    <row r="125" spans="3:18" hidden="1" x14ac:dyDescent="0.35">
      <c r="C125" s="377" t="s">
        <v>517</v>
      </c>
      <c r="D125" s="348"/>
      <c r="E125" s="350"/>
      <c r="F125" s="349"/>
      <c r="G125" s="378" t="s">
        <v>811</v>
      </c>
      <c r="H125" s="348"/>
      <c r="I125" s="390" t="s">
        <v>965</v>
      </c>
      <c r="J125" s="391" t="s">
        <v>966</v>
      </c>
      <c r="K125" s="392">
        <v>4</v>
      </c>
      <c r="L125" s="393">
        <v>5</v>
      </c>
      <c r="M125" s="349"/>
      <c r="N125" s="349"/>
      <c r="O125" s="349"/>
      <c r="P125" s="349"/>
      <c r="Q125" s="349"/>
      <c r="R125" s="348"/>
    </row>
    <row r="126" spans="3:18" hidden="1" x14ac:dyDescent="0.35">
      <c r="D126" s="348"/>
      <c r="E126" s="350"/>
      <c r="F126" s="349"/>
      <c r="G126" s="378" t="s">
        <v>753</v>
      </c>
      <c r="H126" s="348"/>
      <c r="I126" s="362" t="s">
        <v>500</v>
      </c>
      <c r="J126" s="362">
        <v>0</v>
      </c>
      <c r="K126" s="362">
        <v>1</v>
      </c>
      <c r="L126" s="362">
        <v>2</v>
      </c>
      <c r="M126" s="349"/>
      <c r="N126" s="349"/>
      <c r="O126" s="349"/>
      <c r="P126" s="349"/>
      <c r="Q126" s="349"/>
      <c r="R126" s="348"/>
    </row>
    <row r="127" spans="3:18" hidden="1" x14ac:dyDescent="0.35">
      <c r="C127" s="362" t="s">
        <v>699</v>
      </c>
      <c r="D127" s="348"/>
      <c r="E127" s="350"/>
      <c r="F127" s="349"/>
      <c r="G127" s="378" t="s">
        <v>817</v>
      </c>
      <c r="H127" s="348"/>
      <c r="I127" s="362">
        <v>1</v>
      </c>
      <c r="J127" s="362">
        <v>1</v>
      </c>
      <c r="K127" s="362">
        <v>2</v>
      </c>
      <c r="L127" s="362">
        <v>3</v>
      </c>
      <c r="M127" s="349"/>
      <c r="N127" s="349"/>
      <c r="O127" s="349"/>
      <c r="P127" s="349"/>
      <c r="Q127" s="349"/>
      <c r="R127" s="348"/>
    </row>
    <row r="128" spans="3:18" hidden="1" x14ac:dyDescent="0.35">
      <c r="C128" s="362">
        <v>1</v>
      </c>
      <c r="D128" s="348"/>
      <c r="E128" s="350"/>
      <c r="F128" s="349"/>
      <c r="G128" s="348"/>
      <c r="H128" s="348"/>
      <c r="I128" s="362">
        <v>2</v>
      </c>
      <c r="J128" s="362">
        <v>2</v>
      </c>
      <c r="K128" s="362">
        <v>3</v>
      </c>
      <c r="L128" s="362">
        <v>4</v>
      </c>
      <c r="M128" s="349"/>
      <c r="N128" s="349"/>
      <c r="O128" s="349"/>
      <c r="P128" s="349"/>
      <c r="Q128" s="349"/>
      <c r="R128" s="348"/>
    </row>
    <row r="129" spans="3:18" hidden="1" x14ac:dyDescent="0.35">
      <c r="C129" s="362">
        <v>2</v>
      </c>
      <c r="D129" s="348"/>
      <c r="E129" s="350"/>
      <c r="F129" s="349"/>
      <c r="G129" s="378" t="s">
        <v>699</v>
      </c>
      <c r="H129" s="348"/>
      <c r="I129" s="362">
        <v>3</v>
      </c>
      <c r="J129" s="362">
        <v>3</v>
      </c>
      <c r="K129" s="362">
        <v>4</v>
      </c>
      <c r="L129" s="362">
        <v>5</v>
      </c>
      <c r="M129" s="349"/>
      <c r="N129" s="349"/>
      <c r="O129" s="349"/>
      <c r="P129" s="349"/>
      <c r="Q129" s="349"/>
      <c r="R129" s="348"/>
    </row>
    <row r="130" spans="3:18" hidden="1" x14ac:dyDescent="0.35">
      <c r="C130" s="362">
        <v>3</v>
      </c>
      <c r="D130" s="348"/>
      <c r="E130" s="350"/>
      <c r="F130" s="349"/>
      <c r="G130" s="378" t="s">
        <v>811</v>
      </c>
      <c r="H130" s="348"/>
      <c r="I130" s="362">
        <v>4</v>
      </c>
      <c r="J130" s="362">
        <v>3</v>
      </c>
      <c r="K130" s="362">
        <v>4</v>
      </c>
      <c r="L130" s="362">
        <v>5</v>
      </c>
      <c r="M130" s="349"/>
      <c r="N130" s="349"/>
      <c r="O130" s="349"/>
      <c r="P130" s="349"/>
      <c r="Q130" s="349"/>
      <c r="R130" s="348"/>
    </row>
    <row r="131" spans="3:18" hidden="1" x14ac:dyDescent="0.35">
      <c r="C131" s="362">
        <v>4</v>
      </c>
      <c r="D131" s="348"/>
      <c r="E131" s="350"/>
      <c r="F131" s="349"/>
      <c r="G131" s="378" t="str">
        <f>"No"</f>
        <v>No</v>
      </c>
      <c r="H131" s="348"/>
      <c r="I131" s="362">
        <v>5</v>
      </c>
      <c r="J131" s="362">
        <v>4</v>
      </c>
      <c r="K131" s="362">
        <v>5</v>
      </c>
      <c r="L131" s="362">
        <v>5</v>
      </c>
      <c r="M131" s="349"/>
      <c r="N131" s="349"/>
      <c r="O131" s="349"/>
      <c r="P131" s="349"/>
      <c r="Q131" s="349"/>
      <c r="R131" s="348"/>
    </row>
    <row r="132" spans="3:18" hidden="1" x14ac:dyDescent="0.35">
      <c r="C132" s="362">
        <v>5</v>
      </c>
      <c r="D132" s="348"/>
      <c r="E132" s="350"/>
      <c r="F132" s="349"/>
      <c r="G132" s="348"/>
      <c r="H132" s="348"/>
      <c r="L132" s="348"/>
      <c r="M132" s="349"/>
      <c r="N132" s="349"/>
      <c r="O132" s="349"/>
      <c r="P132" s="349"/>
      <c r="Q132" s="349"/>
      <c r="R132" s="348"/>
    </row>
    <row r="133" spans="3:18" hidden="1" x14ac:dyDescent="0.35">
      <c r="C133" s="362">
        <v>6</v>
      </c>
      <c r="D133" s="349"/>
      <c r="E133" s="349"/>
      <c r="F133" s="349"/>
      <c r="G133" s="348"/>
      <c r="H133" s="348"/>
      <c r="I133" s="390" t="s">
        <v>967</v>
      </c>
      <c r="J133" s="362" t="s">
        <v>966</v>
      </c>
      <c r="K133" s="348"/>
      <c r="L133" s="348"/>
      <c r="M133" s="349"/>
      <c r="N133" s="349"/>
      <c r="O133" s="349"/>
      <c r="P133" s="349"/>
      <c r="Q133" s="349"/>
      <c r="R133" s="348"/>
    </row>
    <row r="134" spans="3:18" hidden="1" x14ac:dyDescent="0.35">
      <c r="C134" s="362">
        <v>7</v>
      </c>
      <c r="D134" s="349"/>
      <c r="E134" s="349"/>
      <c r="F134" s="349"/>
      <c r="G134" s="378" t="s">
        <v>699</v>
      </c>
      <c r="H134" s="348"/>
      <c r="I134" s="362" t="s">
        <v>500</v>
      </c>
      <c r="J134" s="362">
        <v>0</v>
      </c>
      <c r="K134" s="349"/>
      <c r="L134" s="349"/>
      <c r="M134" s="349"/>
      <c r="N134" s="349"/>
      <c r="O134" s="349"/>
      <c r="P134" s="349"/>
      <c r="Q134" s="349"/>
      <c r="R134" s="348"/>
    </row>
    <row r="135" spans="3:18" hidden="1" x14ac:dyDescent="0.35">
      <c r="C135" s="362">
        <v>8</v>
      </c>
      <c r="D135" s="349"/>
      <c r="E135" s="349"/>
      <c r="F135" s="349"/>
      <c r="G135" s="362" t="s">
        <v>968</v>
      </c>
      <c r="H135" s="348"/>
      <c r="I135" s="362">
        <v>1</v>
      </c>
      <c r="J135" s="362">
        <v>0</v>
      </c>
      <c r="K135" s="349"/>
      <c r="L135" s="349"/>
      <c r="M135" s="349"/>
      <c r="N135" s="349"/>
      <c r="O135" s="349"/>
      <c r="P135" s="349"/>
    </row>
    <row r="136" spans="3:18" hidden="1" x14ac:dyDescent="0.35">
      <c r="C136" s="348"/>
      <c r="D136" s="349"/>
      <c r="E136" s="349"/>
      <c r="F136" s="349"/>
      <c r="G136" s="362" t="s">
        <v>869</v>
      </c>
      <c r="H136" s="348"/>
      <c r="I136" s="362">
        <v>2</v>
      </c>
      <c r="J136" s="362">
        <v>0</v>
      </c>
      <c r="K136" s="349"/>
      <c r="L136" s="349"/>
      <c r="M136" s="349"/>
      <c r="N136" s="349"/>
      <c r="O136" s="349"/>
      <c r="P136" s="349"/>
    </row>
    <row r="137" spans="3:18" hidden="1" x14ac:dyDescent="0.35">
      <c r="D137" s="348"/>
      <c r="E137" s="349"/>
      <c r="F137" s="349"/>
      <c r="G137" s="349"/>
      <c r="H137" s="348"/>
      <c r="I137" s="362">
        <v>3</v>
      </c>
      <c r="J137" s="362">
        <v>0</v>
      </c>
      <c r="K137" s="349"/>
      <c r="L137" s="349"/>
      <c r="M137" s="349"/>
      <c r="N137" s="349"/>
      <c r="O137" s="349"/>
      <c r="P137" s="349"/>
    </row>
    <row r="138" spans="3:18" hidden="1" x14ac:dyDescent="0.35">
      <c r="C138" s="378" t="s">
        <v>820</v>
      </c>
      <c r="D138" s="348"/>
      <c r="E138" s="349"/>
      <c r="F138" s="349"/>
      <c r="G138" s="349"/>
      <c r="H138" s="348"/>
      <c r="I138" s="362">
        <v>4</v>
      </c>
      <c r="J138" s="362">
        <f>IF(D7="Precipitation zone 3",0,1)</f>
        <v>1</v>
      </c>
      <c r="K138" s="349"/>
      <c r="L138" s="349"/>
      <c r="M138" s="349"/>
      <c r="N138" s="349"/>
      <c r="O138" s="349"/>
      <c r="P138" s="349"/>
    </row>
    <row r="139" spans="3:18" hidden="1" x14ac:dyDescent="0.35">
      <c r="D139" s="348"/>
      <c r="E139" s="349"/>
      <c r="F139" s="349"/>
      <c r="G139" s="349"/>
      <c r="H139" s="348"/>
      <c r="I139" s="362">
        <v>5</v>
      </c>
      <c r="J139" s="362">
        <f>IF(D7="Precipitation zone 3",1,2)</f>
        <v>2</v>
      </c>
      <c r="K139" s="349"/>
      <c r="L139" s="349"/>
      <c r="M139" s="349"/>
      <c r="N139" s="349"/>
      <c r="O139" s="349"/>
      <c r="P139" s="349"/>
    </row>
    <row r="140" spans="3:18" hidden="1" x14ac:dyDescent="0.35">
      <c r="C140" s="169" t="s">
        <v>699</v>
      </c>
      <c r="D140" s="348"/>
      <c r="E140" s="349"/>
      <c r="F140" s="349"/>
      <c r="G140" s="349"/>
      <c r="H140" s="348"/>
      <c r="I140" s="362" t="s">
        <v>969</v>
      </c>
      <c r="J140" s="362">
        <v>0</v>
      </c>
      <c r="K140" s="349"/>
      <c r="L140" s="349"/>
      <c r="M140" s="349"/>
      <c r="N140" s="349"/>
      <c r="O140" s="349"/>
      <c r="P140" s="349"/>
    </row>
    <row r="141" spans="3:18" ht="15" hidden="1" customHeight="1" x14ac:dyDescent="0.35">
      <c r="C141" s="169" t="s">
        <v>970</v>
      </c>
      <c r="D141" s="348"/>
      <c r="E141" s="349"/>
      <c r="F141" s="349"/>
      <c r="G141" s="349"/>
      <c r="H141" s="348"/>
      <c r="I141" s="348"/>
      <c r="J141" s="348"/>
      <c r="K141" s="349"/>
      <c r="L141" s="349"/>
      <c r="M141" s="349"/>
      <c r="N141" s="349"/>
      <c r="O141" s="349"/>
      <c r="P141" s="349"/>
    </row>
    <row r="142" spans="3:18" ht="15" hidden="1" customHeight="1" x14ac:dyDescent="0.35">
      <c r="C142" s="169" t="s">
        <v>971</v>
      </c>
      <c r="D142" s="348"/>
      <c r="E142" s="349"/>
      <c r="F142" s="349"/>
      <c r="G142" s="349"/>
      <c r="H142" s="389" t="s">
        <v>972</v>
      </c>
      <c r="I142" s="359">
        <f>VLOOKUP(D59,I125:J131,2,TRUE)</f>
        <v>0</v>
      </c>
      <c r="J142" s="349"/>
      <c r="K142" s="349"/>
      <c r="L142" s="349"/>
      <c r="M142" s="349"/>
      <c r="N142" s="349"/>
      <c r="O142" s="349"/>
      <c r="P142" s="349"/>
    </row>
    <row r="143" spans="3:18" ht="15" hidden="1" customHeight="1" x14ac:dyDescent="0.35">
      <c r="C143" s="169" t="s">
        <v>973</v>
      </c>
      <c r="D143" s="348"/>
      <c r="E143" s="349"/>
      <c r="F143" s="349"/>
      <c r="G143" s="349"/>
      <c r="H143" s="389" t="s">
        <v>974</v>
      </c>
      <c r="I143" s="362">
        <f>VLOOKUP(G73,I134:J140,2,TRUE)</f>
        <v>0</v>
      </c>
      <c r="J143" s="349"/>
      <c r="K143" s="349"/>
      <c r="L143" s="349"/>
      <c r="M143" s="349"/>
      <c r="N143" s="349"/>
      <c r="O143" s="349"/>
      <c r="P143" s="349"/>
    </row>
    <row r="144" spans="3:18" hidden="1" x14ac:dyDescent="0.35">
      <c r="D144" s="348"/>
      <c r="E144" s="349"/>
      <c r="F144" s="349"/>
      <c r="G144" s="349"/>
      <c r="H144" s="389" t="s">
        <v>748</v>
      </c>
      <c r="I144" s="362">
        <f>IF(SUM(I142+I143)&gt;5,5,SUM(I142+I143))</f>
        <v>0</v>
      </c>
      <c r="J144" s="395" t="s">
        <v>975</v>
      </c>
      <c r="K144" s="349"/>
      <c r="L144" s="349"/>
      <c r="M144" s="349"/>
      <c r="N144" s="349"/>
      <c r="O144" s="349"/>
      <c r="P144" s="349"/>
    </row>
    <row r="145" spans="3:16" hidden="1" x14ac:dyDescent="0.35">
      <c r="C145" s="378" t="s">
        <v>699</v>
      </c>
      <c r="D145" s="348"/>
      <c r="E145" s="349"/>
      <c r="F145" s="349"/>
      <c r="G145" s="349"/>
      <c r="H145" s="348"/>
      <c r="I145" s="349"/>
      <c r="J145" s="349"/>
      <c r="K145" s="349"/>
      <c r="L145" s="349"/>
      <c r="M145" s="349"/>
      <c r="N145" s="349"/>
      <c r="O145" s="349"/>
      <c r="P145" s="349"/>
    </row>
    <row r="146" spans="3:16" hidden="1" x14ac:dyDescent="0.35">
      <c r="C146" s="378" t="s">
        <v>976</v>
      </c>
      <c r="D146" s="348"/>
      <c r="E146" s="349"/>
      <c r="F146" s="349"/>
      <c r="G146" s="349"/>
      <c r="H146" s="348"/>
      <c r="I146" s="349"/>
      <c r="J146" s="349"/>
      <c r="K146" s="349"/>
      <c r="L146" s="349"/>
      <c r="M146" s="349"/>
      <c r="N146" s="349"/>
      <c r="O146" s="349"/>
      <c r="P146" s="349"/>
    </row>
    <row r="147" spans="3:16" hidden="1" x14ac:dyDescent="0.35">
      <c r="C147" s="378" t="s">
        <v>940</v>
      </c>
      <c r="D147" s="348"/>
      <c r="E147" s="349"/>
      <c r="F147" s="349"/>
      <c r="G147" s="349"/>
      <c r="H147" s="348"/>
      <c r="I147" s="349"/>
      <c r="J147" s="349"/>
      <c r="K147" s="349"/>
      <c r="L147" s="349"/>
      <c r="M147" s="349"/>
      <c r="N147" s="349"/>
      <c r="O147" s="349"/>
      <c r="P147" s="349"/>
    </row>
    <row r="148" spans="3:16" hidden="1" x14ac:dyDescent="0.35">
      <c r="C148" s="378" t="s">
        <v>936</v>
      </c>
      <c r="D148" s="348"/>
      <c r="E148" s="349"/>
      <c r="F148" s="349"/>
      <c r="G148" s="349"/>
      <c r="H148" s="348"/>
      <c r="I148" s="349"/>
      <c r="J148" s="349"/>
      <c r="K148" s="349"/>
      <c r="L148" s="349"/>
      <c r="M148" s="349"/>
      <c r="N148" s="349"/>
      <c r="O148" s="349"/>
      <c r="P148" s="349"/>
    </row>
    <row r="149" spans="3:16" hidden="1" x14ac:dyDescent="0.35">
      <c r="C149" s="378" t="s">
        <v>953</v>
      </c>
      <c r="D149" s="348"/>
      <c r="E149" s="349"/>
      <c r="F149" s="349"/>
      <c r="G149" s="349"/>
      <c r="H149" s="348"/>
      <c r="I149" s="349"/>
      <c r="J149" s="349"/>
      <c r="K149" s="349"/>
      <c r="L149" s="349"/>
      <c r="M149" s="349"/>
      <c r="N149" s="349"/>
      <c r="O149" s="349"/>
      <c r="P149" s="349"/>
    </row>
    <row r="150" spans="3:16" hidden="1" x14ac:dyDescent="0.35">
      <c r="C150" s="378" t="s">
        <v>977</v>
      </c>
      <c r="D150" s="348"/>
      <c r="E150" s="349"/>
      <c r="F150" s="349"/>
      <c r="G150" s="349"/>
      <c r="H150" s="348"/>
      <c r="I150" s="349"/>
      <c r="J150" s="349"/>
      <c r="K150" s="349"/>
      <c r="L150" s="349"/>
      <c r="M150" s="349"/>
      <c r="N150" s="349"/>
      <c r="O150" s="349"/>
      <c r="P150" s="349"/>
    </row>
    <row r="151" spans="3:16" hidden="1" x14ac:dyDescent="0.35">
      <c r="C151" s="378" t="s">
        <v>978</v>
      </c>
      <c r="D151" s="348"/>
      <c r="E151" s="349"/>
      <c r="F151" s="349"/>
      <c r="G151" s="349"/>
      <c r="H151" s="348"/>
      <c r="I151" s="349"/>
      <c r="J151" s="349"/>
      <c r="K151" s="349"/>
      <c r="L151" s="349"/>
      <c r="M151" s="349"/>
      <c r="N151" s="349"/>
      <c r="O151" s="349"/>
      <c r="P151" s="349"/>
    </row>
    <row r="152" spans="3:16" hidden="1" x14ac:dyDescent="0.35">
      <c r="C152" s="378" t="s">
        <v>979</v>
      </c>
      <c r="D152" s="348"/>
      <c r="E152" s="349"/>
      <c r="F152" s="349"/>
      <c r="G152" s="349"/>
      <c r="H152" s="348"/>
      <c r="I152" s="349"/>
      <c r="J152" s="349"/>
      <c r="K152" s="349"/>
      <c r="L152" s="349"/>
      <c r="M152" s="349"/>
      <c r="N152" s="349"/>
      <c r="O152" s="349"/>
      <c r="P152" s="349"/>
    </row>
    <row r="153" spans="3:16" hidden="1" x14ac:dyDescent="0.35">
      <c r="C153" s="378" t="s">
        <v>980</v>
      </c>
      <c r="D153" s="348"/>
      <c r="E153" s="349"/>
      <c r="F153" s="349"/>
      <c r="G153" s="349"/>
      <c r="H153" s="348"/>
      <c r="I153" s="349"/>
      <c r="J153" s="349"/>
      <c r="K153" s="349"/>
      <c r="L153" s="349"/>
      <c r="M153" s="349"/>
      <c r="N153" s="349"/>
      <c r="O153" s="349"/>
      <c r="P153" s="349"/>
    </row>
    <row r="154" spans="3:16" hidden="1" x14ac:dyDescent="0.35">
      <c r="C154" s="378" t="s">
        <v>949</v>
      </c>
      <c r="D154" s="348"/>
      <c r="E154" s="349"/>
      <c r="F154" s="349"/>
      <c r="G154" s="349"/>
      <c r="H154" s="348"/>
      <c r="I154" s="349"/>
      <c r="J154" s="349"/>
      <c r="K154" s="349"/>
      <c r="L154" s="349"/>
      <c r="M154" s="349"/>
      <c r="N154" s="349"/>
      <c r="O154" s="349"/>
      <c r="P154" s="349"/>
    </row>
    <row r="155" spans="3:16" hidden="1" x14ac:dyDescent="0.35">
      <c r="C155" s="378" t="s">
        <v>981</v>
      </c>
      <c r="D155" s="348"/>
      <c r="E155" s="349"/>
      <c r="F155" s="349"/>
      <c r="G155" s="349"/>
      <c r="H155" s="348"/>
      <c r="I155" s="349"/>
      <c r="J155" s="349"/>
      <c r="K155" s="349"/>
      <c r="L155" s="349"/>
      <c r="M155" s="349"/>
      <c r="N155" s="349"/>
      <c r="O155" s="349"/>
      <c r="P155" s="349"/>
    </row>
    <row r="156" spans="3:16" hidden="1" x14ac:dyDescent="0.35">
      <c r="C156" s="378" t="s">
        <v>957</v>
      </c>
      <c r="D156" s="348"/>
      <c r="E156" s="349"/>
      <c r="F156" s="349"/>
      <c r="G156" s="349"/>
      <c r="H156" s="348"/>
      <c r="I156" s="349"/>
      <c r="J156" s="349"/>
      <c r="K156" s="349"/>
      <c r="L156" s="349"/>
      <c r="M156" s="349"/>
      <c r="N156" s="349"/>
      <c r="O156" s="349"/>
      <c r="P156" s="349"/>
    </row>
    <row r="157" spans="3:16" hidden="1" x14ac:dyDescent="0.35">
      <c r="C157" s="378" t="s">
        <v>960</v>
      </c>
      <c r="D157" s="348" t="s">
        <v>982</v>
      </c>
      <c r="E157" s="349"/>
      <c r="F157" s="349"/>
      <c r="G157" s="349"/>
      <c r="H157" s="348"/>
      <c r="I157" s="349"/>
      <c r="J157" s="349"/>
      <c r="K157" s="349"/>
      <c r="L157" s="349"/>
      <c r="M157" s="349"/>
      <c r="N157" s="349"/>
      <c r="O157" s="349"/>
      <c r="P157" s="349"/>
    </row>
    <row r="158" spans="3:16" hidden="1" x14ac:dyDescent="0.35">
      <c r="D158" s="348"/>
      <c r="E158" s="349"/>
      <c r="F158" s="349"/>
      <c r="G158" s="349"/>
      <c r="H158" s="348"/>
      <c r="I158" s="349"/>
      <c r="J158" s="349"/>
      <c r="K158" s="349"/>
      <c r="L158" s="349"/>
      <c r="M158" s="349"/>
      <c r="N158" s="349"/>
      <c r="O158" s="349"/>
      <c r="P158" s="349"/>
    </row>
    <row r="159" spans="3:16" hidden="1" x14ac:dyDescent="0.35">
      <c r="C159" s="378" t="s">
        <v>699</v>
      </c>
      <c r="D159" s="348"/>
      <c r="E159" s="349"/>
      <c r="F159" s="349"/>
      <c r="G159" s="349"/>
      <c r="H159" s="348"/>
      <c r="I159" s="349"/>
      <c r="J159" s="349"/>
      <c r="K159" s="349"/>
      <c r="L159" s="349"/>
      <c r="M159" s="349"/>
      <c r="N159" s="349"/>
      <c r="O159" s="349"/>
      <c r="P159" s="349"/>
    </row>
    <row r="160" spans="3:16" hidden="1" x14ac:dyDescent="0.35">
      <c r="C160" s="378" t="s">
        <v>983</v>
      </c>
      <c r="D160" s="348"/>
      <c r="E160" s="349"/>
      <c r="F160" s="349"/>
      <c r="G160" s="349"/>
      <c r="H160" s="348"/>
      <c r="I160" s="349"/>
      <c r="J160" s="349"/>
      <c r="K160" s="349"/>
      <c r="L160" s="349"/>
      <c r="M160" s="349"/>
      <c r="N160" s="349"/>
      <c r="O160" s="349"/>
      <c r="P160" s="349"/>
    </row>
    <row r="161" spans="3:16" hidden="1" x14ac:dyDescent="0.35">
      <c r="C161" s="378" t="s">
        <v>984</v>
      </c>
      <c r="D161" s="348"/>
      <c r="E161" s="349"/>
      <c r="F161" s="349"/>
      <c r="G161" s="349"/>
      <c r="H161" s="348"/>
      <c r="I161" s="349"/>
      <c r="J161" s="349"/>
      <c r="K161" s="349"/>
      <c r="L161" s="349"/>
      <c r="M161" s="349"/>
      <c r="N161" s="349"/>
      <c r="O161" s="349"/>
      <c r="P161" s="349"/>
    </row>
    <row r="162" spans="3:16" hidden="1" x14ac:dyDescent="0.35">
      <c r="C162" s="378" t="s">
        <v>985</v>
      </c>
      <c r="D162" s="348"/>
      <c r="E162" s="349"/>
      <c r="F162" s="349"/>
      <c r="G162" s="349"/>
      <c r="H162" s="348"/>
      <c r="I162" s="349"/>
      <c r="J162" s="349"/>
      <c r="K162" s="349"/>
      <c r="L162" s="349"/>
      <c r="M162" s="349"/>
      <c r="N162" s="349"/>
      <c r="O162" s="349"/>
      <c r="P162" s="349"/>
    </row>
    <row r="163" spans="3:16" hidden="1" x14ac:dyDescent="0.35">
      <c r="C163" s="348"/>
      <c r="D163" s="348"/>
      <c r="E163" s="349"/>
      <c r="F163" s="349"/>
      <c r="G163" s="349"/>
      <c r="H163" s="348"/>
      <c r="I163" s="349"/>
      <c r="J163" s="349"/>
      <c r="K163" s="349"/>
      <c r="L163" s="349"/>
      <c r="M163" s="349"/>
      <c r="N163" s="349"/>
      <c r="O163" s="349"/>
      <c r="P163" s="349"/>
    </row>
    <row r="164" spans="3:16" hidden="1" x14ac:dyDescent="0.35">
      <c r="C164" s="348"/>
      <c r="D164" s="348"/>
      <c r="E164" s="349"/>
      <c r="F164" s="349"/>
      <c r="G164" s="349"/>
      <c r="H164" s="348"/>
      <c r="I164" s="349"/>
      <c r="J164" s="349"/>
      <c r="K164" s="349"/>
      <c r="L164" s="349"/>
      <c r="M164" s="349"/>
      <c r="N164" s="349"/>
      <c r="O164" s="349"/>
      <c r="P164" s="349"/>
    </row>
    <row r="165" spans="3:16" hidden="1" x14ac:dyDescent="0.35">
      <c r="C165" s="476"/>
      <c r="D165" s="348"/>
      <c r="E165" s="349"/>
      <c r="F165" s="349"/>
      <c r="G165" s="349"/>
      <c r="H165" s="348"/>
      <c r="I165" s="349"/>
      <c r="J165" s="349"/>
      <c r="K165" s="349"/>
      <c r="L165" s="349"/>
      <c r="M165" s="349"/>
      <c r="N165" s="349"/>
      <c r="O165" s="349"/>
      <c r="P165" s="349"/>
    </row>
    <row r="166" spans="3:16" hidden="1" x14ac:dyDescent="0.35">
      <c r="C166" s="378" t="s">
        <v>853</v>
      </c>
      <c r="D166" s="348"/>
      <c r="E166" s="349"/>
      <c r="F166" s="349"/>
      <c r="G166" s="349"/>
      <c r="H166" s="348"/>
      <c r="I166" s="349"/>
      <c r="J166" s="349"/>
      <c r="K166" s="349"/>
      <c r="L166" s="349"/>
      <c r="M166" s="349"/>
      <c r="N166" s="349"/>
      <c r="O166" s="349"/>
      <c r="P166" s="349"/>
    </row>
    <row r="167" spans="3:16" hidden="1" x14ac:dyDescent="0.35">
      <c r="C167" s="378" t="s">
        <v>935</v>
      </c>
      <c r="D167" s="348"/>
      <c r="E167" s="349"/>
      <c r="F167" s="349"/>
      <c r="G167" s="349"/>
      <c r="H167" s="348"/>
      <c r="I167" s="349"/>
      <c r="J167" s="349"/>
      <c r="K167" s="349"/>
      <c r="L167" s="349"/>
      <c r="M167" s="349"/>
      <c r="N167" s="349"/>
      <c r="O167" s="349"/>
      <c r="P167" s="349"/>
    </row>
    <row r="168" spans="3:16" hidden="1" x14ac:dyDescent="0.35">
      <c r="C168" s="378" t="s">
        <v>959</v>
      </c>
      <c r="D168" s="348"/>
      <c r="E168" s="349"/>
      <c r="F168" s="349"/>
      <c r="G168" s="349"/>
      <c r="H168" s="348"/>
      <c r="I168" s="349"/>
      <c r="J168" s="349"/>
      <c r="K168" s="349"/>
      <c r="L168" s="349"/>
      <c r="M168" s="349"/>
      <c r="N168" s="349"/>
      <c r="O168" s="349"/>
      <c r="P168" s="349"/>
    </row>
    <row r="169" spans="3:16" hidden="1" x14ac:dyDescent="0.35">
      <c r="C169" s="378" t="s">
        <v>960</v>
      </c>
      <c r="D169" s="348"/>
      <c r="E169" s="349"/>
      <c r="F169" s="349"/>
      <c r="G169" s="349"/>
      <c r="H169" s="348"/>
      <c r="I169" s="349"/>
      <c r="J169" s="349"/>
      <c r="K169" s="349"/>
      <c r="L169" s="349"/>
      <c r="M169" s="349"/>
      <c r="N169" s="349"/>
      <c r="O169" s="349"/>
      <c r="P169" s="349"/>
    </row>
    <row r="170" spans="3:16" hidden="1" x14ac:dyDescent="0.35">
      <c r="C170" s="378" t="s">
        <v>949</v>
      </c>
      <c r="D170" s="348"/>
      <c r="E170" s="349"/>
      <c r="F170" s="349"/>
      <c r="G170" s="349"/>
      <c r="H170" s="348"/>
      <c r="I170" s="349"/>
      <c r="J170" s="349"/>
      <c r="K170" s="349"/>
      <c r="L170" s="349"/>
      <c r="M170" s="349"/>
      <c r="N170" s="349"/>
      <c r="O170" s="349"/>
      <c r="P170" s="349"/>
    </row>
    <row r="171" spans="3:16" hidden="1" x14ac:dyDescent="0.35">
      <c r="C171" s="481" t="s">
        <v>986</v>
      </c>
      <c r="D171" s="348"/>
      <c r="E171" s="349"/>
      <c r="F171" s="349"/>
      <c r="G171" s="349"/>
      <c r="H171" s="348"/>
      <c r="I171" s="349"/>
      <c r="J171" s="349"/>
      <c r="K171" s="349"/>
      <c r="L171" s="349"/>
      <c r="M171" s="349"/>
      <c r="N171" s="349"/>
      <c r="O171" s="349"/>
      <c r="P171" s="349"/>
    </row>
    <row r="172" spans="3:16" hidden="1" x14ac:dyDescent="0.35">
      <c r="C172" s="378" t="s">
        <v>957</v>
      </c>
      <c r="D172" s="348"/>
      <c r="E172" s="349"/>
      <c r="F172" s="349"/>
      <c r="G172" s="349"/>
      <c r="H172" s="348"/>
      <c r="I172" s="349"/>
      <c r="J172" s="349"/>
      <c r="K172" s="349"/>
      <c r="L172" s="349"/>
      <c r="M172" s="349"/>
      <c r="N172" s="349"/>
      <c r="O172" s="349"/>
      <c r="P172" s="349"/>
    </row>
    <row r="173" spans="3:16" hidden="1" x14ac:dyDescent="0.35">
      <c r="C173" s="348"/>
      <c r="D173" s="348"/>
      <c r="E173" s="349"/>
      <c r="F173" s="349"/>
      <c r="G173" s="349"/>
      <c r="H173" s="348"/>
      <c r="I173" s="349"/>
      <c r="J173" s="349"/>
      <c r="K173" s="349"/>
      <c r="L173" s="349"/>
      <c r="M173" s="349"/>
      <c r="N173" s="349"/>
      <c r="O173" s="349"/>
      <c r="P173" s="349"/>
    </row>
    <row r="174" spans="3:16" x14ac:dyDescent="0.35">
      <c r="C174" s="348"/>
      <c r="D174" s="348"/>
      <c r="E174" s="349"/>
      <c r="F174" s="349"/>
      <c r="G174" s="349"/>
      <c r="H174" s="348"/>
      <c r="I174" s="349"/>
      <c r="J174" s="349"/>
      <c r="K174" s="349"/>
      <c r="L174" s="349"/>
      <c r="M174" s="349"/>
      <c r="N174" s="349"/>
      <c r="O174" s="349"/>
      <c r="P174" s="349"/>
    </row>
    <row r="175" spans="3:16" x14ac:dyDescent="0.35">
      <c r="C175" s="348"/>
      <c r="D175" s="348"/>
      <c r="E175" s="349"/>
      <c r="F175" s="349"/>
      <c r="G175" s="349"/>
      <c r="H175" s="348"/>
      <c r="I175" s="349"/>
      <c r="J175" s="349"/>
      <c r="K175" s="349"/>
      <c r="L175" s="349"/>
      <c r="M175" s="349"/>
      <c r="N175" s="349"/>
      <c r="O175" s="349"/>
      <c r="P175" s="349"/>
    </row>
    <row r="176" spans="3:16" x14ac:dyDescent="0.35">
      <c r="C176" s="348"/>
      <c r="D176" s="348"/>
      <c r="E176" s="349"/>
      <c r="F176" s="349"/>
      <c r="G176" s="349"/>
      <c r="H176" s="348"/>
      <c r="I176" s="349"/>
      <c r="J176" s="349"/>
      <c r="K176" s="349"/>
      <c r="L176" s="349"/>
      <c r="M176" s="349"/>
      <c r="N176" s="349"/>
      <c r="O176" s="349"/>
      <c r="P176" s="349"/>
    </row>
    <row r="177" spans="3:16" x14ac:dyDescent="0.35">
      <c r="C177" s="348"/>
      <c r="D177" s="348"/>
      <c r="E177" s="349"/>
      <c r="F177" s="349"/>
      <c r="G177" s="349"/>
      <c r="H177" s="348"/>
      <c r="I177" s="349"/>
      <c r="J177" s="349"/>
      <c r="K177" s="349"/>
      <c r="L177" s="349"/>
      <c r="M177" s="349"/>
      <c r="N177" s="349"/>
      <c r="O177" s="349"/>
      <c r="P177" s="349"/>
    </row>
    <row r="178" spans="3:16" x14ac:dyDescent="0.35">
      <c r="C178" s="348"/>
      <c r="D178" s="348"/>
      <c r="E178" s="349"/>
      <c r="F178" s="349"/>
      <c r="G178" s="349"/>
      <c r="H178" s="348"/>
      <c r="I178" s="349"/>
      <c r="J178" s="349"/>
      <c r="K178" s="349"/>
      <c r="L178" s="349"/>
      <c r="M178" s="349"/>
      <c r="N178" s="349"/>
      <c r="O178" s="349"/>
      <c r="P178" s="349"/>
    </row>
    <row r="179" spans="3:16" x14ac:dyDescent="0.35">
      <c r="C179" s="348"/>
      <c r="D179" s="348"/>
      <c r="E179" s="349"/>
      <c r="F179" s="349"/>
      <c r="G179" s="349"/>
      <c r="H179" s="348"/>
      <c r="I179" s="349"/>
      <c r="J179" s="349"/>
      <c r="K179" s="349"/>
      <c r="L179" s="349"/>
      <c r="M179" s="349"/>
      <c r="N179" s="349"/>
      <c r="O179" s="349"/>
      <c r="P179" s="349"/>
    </row>
    <row r="180" spans="3:16" x14ac:dyDescent="0.35">
      <c r="C180" s="348"/>
      <c r="D180" s="348"/>
      <c r="E180" s="349"/>
      <c r="F180" s="349"/>
      <c r="G180" s="349"/>
      <c r="H180" s="348"/>
      <c r="I180" s="349"/>
      <c r="J180" s="349"/>
      <c r="K180" s="349"/>
      <c r="L180" s="349"/>
      <c r="M180" s="349"/>
      <c r="N180" s="349"/>
      <c r="O180" s="349"/>
      <c r="P180" s="349"/>
    </row>
    <row r="181" spans="3:16" x14ac:dyDescent="0.35">
      <c r="C181" s="348"/>
      <c r="D181" s="348"/>
      <c r="E181" s="349"/>
      <c r="F181" s="349"/>
      <c r="G181" s="349"/>
      <c r="H181" s="348"/>
      <c r="I181" s="349"/>
      <c r="J181" s="349"/>
      <c r="K181" s="349"/>
      <c r="L181" s="349"/>
      <c r="M181" s="349"/>
      <c r="N181" s="349"/>
      <c r="O181" s="349"/>
      <c r="P181" s="349"/>
    </row>
    <row r="182" spans="3:16" x14ac:dyDescent="0.35">
      <c r="C182" s="348"/>
      <c r="D182" s="348"/>
      <c r="E182" s="349"/>
      <c r="F182" s="349"/>
      <c r="G182" s="349"/>
      <c r="H182" s="348"/>
      <c r="I182" s="349"/>
      <c r="J182" s="349"/>
      <c r="K182" s="349"/>
      <c r="L182" s="349"/>
      <c r="M182" s="349"/>
      <c r="N182" s="349"/>
      <c r="O182" s="349"/>
      <c r="P182" s="349"/>
    </row>
    <row r="183" spans="3:16" x14ac:dyDescent="0.35">
      <c r="C183" s="348"/>
      <c r="D183" s="348"/>
      <c r="E183" s="349"/>
      <c r="F183" s="349"/>
      <c r="G183" s="349"/>
      <c r="H183" s="348"/>
      <c r="I183" s="349"/>
      <c r="J183" s="349"/>
      <c r="K183" s="349"/>
      <c r="L183" s="349"/>
      <c r="M183" s="349"/>
      <c r="N183" s="349"/>
      <c r="O183" s="349"/>
      <c r="P183" s="349"/>
    </row>
    <row r="184" spans="3:16" x14ac:dyDescent="0.35">
      <c r="C184" s="348"/>
      <c r="D184" s="348"/>
      <c r="E184" s="349"/>
      <c r="F184" s="349"/>
      <c r="G184" s="349"/>
      <c r="H184" s="348"/>
      <c r="I184" s="349"/>
      <c r="J184" s="349"/>
      <c r="K184" s="349"/>
      <c r="L184" s="349"/>
      <c r="M184" s="349"/>
      <c r="N184" s="349"/>
      <c r="O184" s="349"/>
      <c r="P184" s="349"/>
    </row>
    <row r="185" spans="3:16" x14ac:dyDescent="0.35">
      <c r="C185" s="348"/>
      <c r="D185" s="348"/>
      <c r="E185" s="349"/>
      <c r="F185" s="349"/>
      <c r="G185" s="349"/>
      <c r="H185" s="348"/>
      <c r="I185" s="349"/>
      <c r="J185" s="349"/>
      <c r="K185" s="349"/>
      <c r="L185" s="349"/>
      <c r="M185" s="349"/>
      <c r="N185" s="349"/>
      <c r="O185" s="349"/>
      <c r="P185" s="349"/>
    </row>
    <row r="186" spans="3:16" x14ac:dyDescent="0.35">
      <c r="C186" s="348"/>
      <c r="D186" s="348"/>
      <c r="E186" s="349"/>
      <c r="F186" s="349"/>
      <c r="G186" s="349"/>
      <c r="H186" s="348"/>
      <c r="I186" s="349"/>
      <c r="J186" s="349"/>
      <c r="K186" s="349"/>
      <c r="L186" s="349"/>
      <c r="M186" s="349"/>
      <c r="N186" s="349"/>
      <c r="O186" s="349"/>
      <c r="P186" s="349"/>
    </row>
    <row r="187" spans="3:16" x14ac:dyDescent="0.35">
      <c r="C187" s="348"/>
      <c r="D187" s="348"/>
      <c r="E187" s="349"/>
      <c r="F187" s="349"/>
      <c r="G187" s="349"/>
      <c r="H187" s="348"/>
      <c r="I187" s="349"/>
      <c r="J187" s="349"/>
      <c r="K187" s="349"/>
      <c r="L187" s="349"/>
      <c r="M187" s="349"/>
      <c r="N187" s="349"/>
      <c r="O187" s="349"/>
      <c r="P187" s="349"/>
    </row>
    <row r="188" spans="3:16" x14ac:dyDescent="0.35">
      <c r="C188" s="348"/>
      <c r="D188" s="348"/>
      <c r="E188" s="349"/>
      <c r="F188" s="349"/>
      <c r="G188" s="349"/>
      <c r="H188" s="348"/>
      <c r="I188" s="349"/>
      <c r="J188" s="349"/>
      <c r="K188" s="349"/>
      <c r="L188" s="349"/>
      <c r="M188" s="349"/>
      <c r="N188" s="349"/>
      <c r="O188" s="349"/>
      <c r="P188" s="349"/>
    </row>
    <row r="189" spans="3:16" x14ac:dyDescent="0.35">
      <c r="C189" s="348"/>
      <c r="D189" s="348"/>
      <c r="E189" s="349"/>
      <c r="F189" s="349"/>
      <c r="G189" s="349"/>
      <c r="H189" s="348"/>
      <c r="I189" s="349"/>
      <c r="J189" s="349"/>
      <c r="K189" s="349"/>
      <c r="L189" s="349"/>
      <c r="M189" s="349"/>
      <c r="N189" s="349"/>
      <c r="O189" s="349"/>
      <c r="P189" s="349"/>
    </row>
    <row r="190" spans="3:16" x14ac:dyDescent="0.35">
      <c r="C190" s="348"/>
      <c r="D190" s="348"/>
      <c r="E190" s="349"/>
      <c r="F190" s="349"/>
      <c r="G190" s="349"/>
      <c r="H190" s="348"/>
      <c r="I190" s="349"/>
      <c r="J190" s="349"/>
      <c r="K190" s="349"/>
      <c r="L190" s="349"/>
      <c r="M190" s="349"/>
      <c r="N190" s="349"/>
      <c r="O190" s="349"/>
      <c r="P190" s="349"/>
    </row>
    <row r="191" spans="3:16" x14ac:dyDescent="0.35">
      <c r="C191" s="348"/>
      <c r="D191" s="348"/>
      <c r="E191" s="349"/>
      <c r="F191" s="349"/>
      <c r="G191" s="349"/>
      <c r="H191" s="348"/>
      <c r="I191" s="349"/>
      <c r="J191" s="349"/>
      <c r="K191" s="349"/>
      <c r="L191" s="349"/>
      <c r="M191" s="349"/>
      <c r="N191" s="349"/>
      <c r="O191" s="349"/>
      <c r="P191" s="349"/>
    </row>
    <row r="192" spans="3:16" x14ac:dyDescent="0.35">
      <c r="C192" s="348"/>
      <c r="D192" s="348"/>
      <c r="E192" s="349"/>
      <c r="F192" s="349"/>
      <c r="G192" s="349"/>
      <c r="H192" s="348"/>
      <c r="I192" s="349"/>
      <c r="J192" s="349"/>
      <c r="K192" s="349"/>
      <c r="L192" s="349"/>
      <c r="M192" s="349"/>
      <c r="N192" s="349"/>
      <c r="O192" s="349"/>
      <c r="P192" s="349"/>
    </row>
    <row r="193" spans="3:16" x14ac:dyDescent="0.35">
      <c r="C193" s="348"/>
      <c r="D193" s="348"/>
      <c r="E193" s="349"/>
      <c r="F193" s="349"/>
      <c r="G193" s="349"/>
      <c r="H193" s="348"/>
      <c r="I193" s="349"/>
      <c r="J193" s="349"/>
      <c r="K193" s="349"/>
      <c r="L193" s="349"/>
      <c r="M193" s="349"/>
      <c r="N193" s="349"/>
      <c r="O193" s="349"/>
      <c r="P193" s="349"/>
    </row>
    <row r="194" spans="3:16" x14ac:dyDescent="0.35">
      <c r="C194" s="348"/>
      <c r="D194" s="348"/>
      <c r="E194" s="349"/>
      <c r="F194" s="349"/>
      <c r="G194" s="349"/>
      <c r="H194" s="348"/>
      <c r="I194" s="349"/>
      <c r="J194" s="349"/>
      <c r="K194" s="349"/>
      <c r="L194" s="349"/>
      <c r="M194" s="349"/>
      <c r="N194" s="349"/>
      <c r="O194" s="349"/>
      <c r="P194" s="349"/>
    </row>
    <row r="195" spans="3:16" x14ac:dyDescent="0.35">
      <c r="C195" s="348"/>
      <c r="D195" s="348"/>
      <c r="E195" s="349"/>
      <c r="F195" s="349"/>
      <c r="G195" s="349"/>
      <c r="H195" s="348"/>
      <c r="I195" s="349"/>
      <c r="J195" s="349"/>
      <c r="K195" s="349"/>
      <c r="L195" s="349"/>
      <c r="M195" s="349"/>
      <c r="N195" s="349"/>
      <c r="O195" s="349"/>
      <c r="P195" s="349"/>
    </row>
    <row r="196" spans="3:16" x14ac:dyDescent="0.35">
      <c r="C196" s="348"/>
      <c r="D196" s="348"/>
      <c r="E196" s="349"/>
      <c r="F196" s="349"/>
      <c r="G196" s="349"/>
      <c r="H196" s="348"/>
      <c r="I196" s="349"/>
      <c r="J196" s="349"/>
      <c r="K196" s="349"/>
      <c r="L196" s="349"/>
      <c r="M196" s="349"/>
      <c r="N196" s="349"/>
      <c r="O196" s="349"/>
      <c r="P196" s="349"/>
    </row>
    <row r="197" spans="3:16" x14ac:dyDescent="0.35">
      <c r="C197" s="348"/>
      <c r="D197" s="348"/>
      <c r="E197" s="349"/>
      <c r="F197" s="349"/>
      <c r="G197" s="349"/>
      <c r="H197" s="348"/>
      <c r="I197" s="349"/>
      <c r="J197" s="349"/>
      <c r="K197" s="349"/>
      <c r="L197" s="349"/>
      <c r="M197" s="349"/>
      <c r="N197" s="349"/>
      <c r="O197" s="349"/>
      <c r="P197" s="349"/>
    </row>
    <row r="198" spans="3:16" x14ac:dyDescent="0.35">
      <c r="C198" s="348"/>
      <c r="D198" s="348"/>
      <c r="E198" s="349"/>
      <c r="F198" s="349"/>
      <c r="G198" s="349"/>
      <c r="H198" s="348"/>
      <c r="I198" s="349"/>
      <c r="J198" s="349"/>
      <c r="K198" s="349"/>
      <c r="L198" s="349"/>
      <c r="M198" s="349"/>
      <c r="N198" s="349"/>
      <c r="O198" s="349"/>
      <c r="P198" s="349"/>
    </row>
    <row r="199" spans="3:16" x14ac:dyDescent="0.35">
      <c r="C199" s="348"/>
      <c r="D199" s="348"/>
      <c r="E199" s="349"/>
      <c r="F199" s="349"/>
      <c r="G199" s="349"/>
      <c r="H199" s="348"/>
      <c r="I199" s="349"/>
      <c r="J199" s="349"/>
      <c r="K199" s="349"/>
      <c r="L199" s="349"/>
      <c r="M199" s="349"/>
      <c r="N199" s="349"/>
      <c r="O199" s="349"/>
      <c r="P199" s="349"/>
    </row>
    <row r="200" spans="3:16" x14ac:dyDescent="0.35">
      <c r="C200" s="348"/>
      <c r="D200" s="348"/>
      <c r="E200" s="349"/>
      <c r="F200" s="349"/>
      <c r="G200" s="349"/>
      <c r="H200" s="348"/>
      <c r="I200" s="349"/>
      <c r="J200" s="349"/>
      <c r="K200" s="349"/>
      <c r="L200" s="349"/>
      <c r="M200" s="349"/>
      <c r="N200" s="349"/>
      <c r="O200" s="349"/>
      <c r="P200" s="349"/>
    </row>
    <row r="201" spans="3:16" x14ac:dyDescent="0.35">
      <c r="C201" s="348"/>
      <c r="D201" s="348"/>
      <c r="E201" s="349"/>
      <c r="F201" s="349"/>
      <c r="G201" s="349"/>
      <c r="H201" s="348"/>
      <c r="I201" s="349"/>
      <c r="J201" s="349"/>
      <c r="K201" s="349"/>
      <c r="L201" s="349"/>
      <c r="M201" s="349"/>
      <c r="N201" s="349"/>
      <c r="O201" s="349"/>
      <c r="P201" s="349"/>
    </row>
    <row r="202" spans="3:16" x14ac:dyDescent="0.35">
      <c r="C202" s="348"/>
      <c r="D202" s="348"/>
      <c r="E202" s="349"/>
      <c r="F202" s="349"/>
      <c r="G202" s="349"/>
      <c r="H202" s="348"/>
      <c r="I202" s="349"/>
      <c r="J202" s="349"/>
      <c r="K202" s="349"/>
      <c r="L202" s="349"/>
      <c r="M202" s="349"/>
      <c r="N202" s="349"/>
      <c r="O202" s="349"/>
      <c r="P202" s="349"/>
    </row>
    <row r="203" spans="3:16" x14ac:dyDescent="0.35">
      <c r="C203" s="348"/>
      <c r="D203" s="348"/>
      <c r="E203" s="349"/>
      <c r="F203" s="349"/>
      <c r="G203" s="349"/>
      <c r="H203" s="348"/>
      <c r="I203" s="349"/>
      <c r="J203" s="349"/>
      <c r="K203" s="349"/>
      <c r="L203" s="349"/>
      <c r="M203" s="349"/>
      <c r="N203" s="349"/>
      <c r="O203" s="349"/>
      <c r="P203" s="349"/>
    </row>
    <row r="204" spans="3:16" x14ac:dyDescent="0.35">
      <c r="C204" s="348"/>
      <c r="D204" s="348"/>
      <c r="E204" s="349"/>
      <c r="F204" s="349"/>
      <c r="G204" s="349"/>
      <c r="H204" s="348"/>
      <c r="I204" s="349"/>
      <c r="J204" s="349"/>
      <c r="K204" s="349"/>
      <c r="L204" s="349"/>
      <c r="M204" s="349"/>
      <c r="N204" s="349"/>
      <c r="O204" s="349"/>
      <c r="P204" s="349"/>
    </row>
    <row r="205" spans="3:16" x14ac:dyDescent="0.35">
      <c r="C205" s="348"/>
      <c r="D205" s="348"/>
      <c r="E205" s="349"/>
      <c r="F205" s="349"/>
      <c r="G205" s="349"/>
      <c r="H205" s="348"/>
      <c r="I205" s="349"/>
      <c r="J205" s="349"/>
      <c r="K205" s="349"/>
      <c r="L205" s="349"/>
      <c r="M205" s="349"/>
      <c r="N205" s="349"/>
      <c r="O205" s="349"/>
      <c r="P205" s="349"/>
    </row>
    <row r="206" spans="3:16" x14ac:dyDescent="0.35">
      <c r="C206" s="348"/>
      <c r="D206" s="348"/>
      <c r="E206" s="349"/>
      <c r="F206" s="349"/>
      <c r="G206" s="349"/>
      <c r="H206" s="348"/>
      <c r="I206" s="349"/>
      <c r="J206" s="349"/>
      <c r="K206" s="349"/>
      <c r="L206" s="349"/>
      <c r="M206" s="349"/>
      <c r="N206" s="349"/>
      <c r="O206" s="349"/>
      <c r="P206" s="349"/>
    </row>
    <row r="207" spans="3:16" x14ac:dyDescent="0.35">
      <c r="C207" s="348"/>
      <c r="D207" s="348"/>
      <c r="E207" s="349"/>
      <c r="F207" s="349"/>
      <c r="G207" s="349"/>
      <c r="H207" s="348"/>
      <c r="I207" s="349"/>
      <c r="J207" s="349"/>
      <c r="K207" s="349"/>
      <c r="L207" s="349"/>
      <c r="M207" s="349"/>
      <c r="N207" s="349"/>
      <c r="O207" s="349"/>
      <c r="P207" s="349"/>
    </row>
    <row r="208" spans="3:16" x14ac:dyDescent="0.35">
      <c r="C208" s="348"/>
      <c r="D208" s="348"/>
      <c r="E208" s="349"/>
      <c r="F208" s="349"/>
      <c r="G208" s="349"/>
      <c r="H208" s="348"/>
      <c r="I208" s="349"/>
      <c r="J208" s="349"/>
      <c r="K208" s="349"/>
      <c r="L208" s="349"/>
      <c r="M208" s="349"/>
      <c r="N208" s="349"/>
      <c r="O208" s="349"/>
      <c r="P208" s="349"/>
    </row>
    <row r="209" spans="3:16" x14ac:dyDescent="0.35">
      <c r="C209" s="348"/>
      <c r="D209" s="348"/>
      <c r="E209" s="349"/>
      <c r="F209" s="349"/>
      <c r="G209" s="349"/>
      <c r="H209" s="348"/>
      <c r="I209" s="349"/>
      <c r="J209" s="349"/>
      <c r="K209" s="349"/>
      <c r="L209" s="349"/>
      <c r="M209" s="349"/>
      <c r="N209" s="349"/>
      <c r="O209" s="349"/>
      <c r="P209" s="349"/>
    </row>
    <row r="210" spans="3:16" x14ac:dyDescent="0.35">
      <c r="C210" s="348"/>
      <c r="D210" s="348"/>
      <c r="E210" s="349"/>
      <c r="F210" s="349"/>
      <c r="G210" s="349"/>
      <c r="H210" s="348"/>
      <c r="I210" s="349"/>
      <c r="J210" s="349"/>
      <c r="K210" s="349"/>
      <c r="L210" s="349"/>
      <c r="M210" s="349"/>
      <c r="N210" s="349"/>
      <c r="O210" s="349"/>
      <c r="P210" s="349"/>
    </row>
    <row r="211" spans="3:16" x14ac:dyDescent="0.35">
      <c r="C211" s="348"/>
      <c r="D211" s="348"/>
      <c r="E211" s="349"/>
      <c r="F211" s="349"/>
      <c r="G211" s="349"/>
      <c r="H211" s="348"/>
      <c r="I211" s="349"/>
      <c r="J211" s="349"/>
      <c r="K211" s="349"/>
      <c r="L211" s="349"/>
      <c r="M211" s="349"/>
      <c r="N211" s="349"/>
      <c r="O211" s="349"/>
      <c r="P211" s="349"/>
    </row>
    <row r="212" spans="3:16" x14ac:dyDescent="0.35">
      <c r="C212" s="348"/>
      <c r="D212" s="348"/>
      <c r="E212" s="349"/>
      <c r="F212" s="349"/>
      <c r="G212" s="349"/>
      <c r="H212" s="348"/>
      <c r="I212" s="349"/>
      <c r="J212" s="349"/>
      <c r="K212" s="349"/>
      <c r="L212" s="349"/>
      <c r="M212" s="349"/>
      <c r="N212" s="349"/>
      <c r="O212" s="349"/>
      <c r="P212" s="349"/>
    </row>
    <row r="213" spans="3:16" x14ac:dyDescent="0.35">
      <c r="C213" s="348"/>
      <c r="D213" s="348"/>
      <c r="E213" s="349"/>
      <c r="F213" s="349"/>
      <c r="G213" s="349"/>
      <c r="H213" s="348"/>
      <c r="I213" s="349"/>
      <c r="J213" s="349"/>
      <c r="K213" s="349"/>
      <c r="L213" s="349"/>
      <c r="M213" s="349"/>
      <c r="N213" s="349"/>
      <c r="O213" s="349"/>
      <c r="P213" s="349"/>
    </row>
    <row r="214" spans="3:16" x14ac:dyDescent="0.35">
      <c r="C214" s="348"/>
      <c r="D214" s="348"/>
      <c r="E214" s="349"/>
      <c r="F214" s="349"/>
      <c r="G214" s="349"/>
      <c r="H214" s="348"/>
      <c r="I214" s="349"/>
      <c r="J214" s="349"/>
      <c r="K214" s="349"/>
      <c r="L214" s="349"/>
      <c r="M214" s="349"/>
      <c r="N214" s="349"/>
      <c r="O214" s="349"/>
      <c r="P214" s="349"/>
    </row>
    <row r="215" spans="3:16" x14ac:dyDescent="0.35">
      <c r="C215" s="348"/>
      <c r="D215" s="348"/>
      <c r="E215" s="349"/>
      <c r="F215" s="349"/>
      <c r="G215" s="349"/>
      <c r="H215" s="348"/>
      <c r="I215" s="349"/>
      <c r="J215" s="349"/>
      <c r="K215" s="349"/>
      <c r="L215" s="349"/>
      <c r="M215" s="349"/>
      <c r="N215" s="349"/>
      <c r="O215" s="349"/>
      <c r="P215" s="349"/>
    </row>
    <row r="216" spans="3:16" x14ac:dyDescent="0.35">
      <c r="C216" s="348"/>
      <c r="D216" s="348"/>
      <c r="E216" s="349"/>
      <c r="F216" s="349"/>
      <c r="G216" s="349"/>
      <c r="H216" s="348"/>
      <c r="I216" s="349"/>
      <c r="J216" s="349"/>
      <c r="K216" s="349"/>
      <c r="L216" s="349"/>
      <c r="M216" s="349"/>
      <c r="N216" s="349"/>
      <c r="O216" s="349"/>
      <c r="P216" s="349"/>
    </row>
    <row r="217" spans="3:16" x14ac:dyDescent="0.35">
      <c r="C217" s="348"/>
      <c r="D217" s="348"/>
      <c r="E217" s="349"/>
      <c r="F217" s="349"/>
      <c r="G217" s="349"/>
      <c r="H217" s="348"/>
      <c r="I217" s="349"/>
      <c r="J217" s="349"/>
      <c r="K217" s="349"/>
      <c r="L217" s="349"/>
      <c r="M217" s="349"/>
      <c r="N217" s="349"/>
      <c r="O217" s="349"/>
      <c r="P217" s="349"/>
    </row>
    <row r="218" spans="3:16" x14ac:dyDescent="0.35">
      <c r="C218" s="348"/>
      <c r="D218" s="348"/>
      <c r="E218" s="349"/>
      <c r="F218" s="349"/>
      <c r="G218" s="349"/>
      <c r="H218" s="348"/>
      <c r="I218" s="349"/>
      <c r="J218" s="349"/>
      <c r="K218" s="349"/>
      <c r="L218" s="349"/>
      <c r="M218" s="349"/>
      <c r="N218" s="349"/>
      <c r="O218" s="349"/>
      <c r="P218" s="349"/>
    </row>
    <row r="219" spans="3:16" x14ac:dyDescent="0.35">
      <c r="C219" s="348"/>
      <c r="D219" s="348"/>
      <c r="E219" s="349"/>
      <c r="F219" s="349"/>
      <c r="G219" s="349"/>
      <c r="H219" s="348"/>
      <c r="I219" s="349"/>
      <c r="J219" s="349"/>
      <c r="K219" s="349"/>
      <c r="L219" s="349"/>
      <c r="M219" s="349"/>
      <c r="N219" s="349"/>
      <c r="O219" s="349"/>
      <c r="P219" s="349"/>
    </row>
    <row r="220" spans="3:16" x14ac:dyDescent="0.35">
      <c r="C220" s="348"/>
      <c r="D220" s="348"/>
      <c r="E220" s="349"/>
      <c r="F220" s="349"/>
      <c r="G220" s="349"/>
      <c r="H220" s="348"/>
      <c r="I220" s="349"/>
      <c r="J220" s="349"/>
      <c r="K220" s="349"/>
      <c r="L220" s="349"/>
      <c r="M220" s="349"/>
      <c r="N220" s="349"/>
      <c r="O220" s="349"/>
      <c r="P220" s="349"/>
    </row>
    <row r="221" spans="3:16" x14ac:dyDescent="0.35">
      <c r="C221" s="348"/>
      <c r="D221" s="348"/>
      <c r="E221" s="349"/>
      <c r="F221" s="349"/>
      <c r="G221" s="349"/>
      <c r="H221" s="348"/>
      <c r="I221" s="349"/>
      <c r="J221" s="349"/>
      <c r="K221" s="349"/>
      <c r="L221" s="349"/>
      <c r="M221" s="349"/>
      <c r="N221" s="349"/>
      <c r="O221" s="349"/>
      <c r="P221" s="349"/>
    </row>
    <row r="222" spans="3:16" x14ac:dyDescent="0.35">
      <c r="C222" s="348"/>
      <c r="D222" s="348"/>
      <c r="E222" s="349"/>
      <c r="F222" s="349"/>
      <c r="G222" s="349"/>
      <c r="H222" s="348"/>
      <c r="I222" s="349"/>
      <c r="J222" s="349"/>
      <c r="K222" s="349"/>
      <c r="L222" s="349"/>
      <c r="M222" s="349"/>
      <c r="N222" s="349"/>
      <c r="O222" s="349"/>
      <c r="P222" s="349"/>
    </row>
    <row r="223" spans="3:16" x14ac:dyDescent="0.35">
      <c r="C223" s="348"/>
      <c r="D223" s="348"/>
      <c r="E223" s="349"/>
      <c r="F223" s="349"/>
      <c r="G223" s="349"/>
      <c r="H223" s="348"/>
      <c r="I223" s="349"/>
      <c r="J223" s="349"/>
      <c r="K223" s="349"/>
      <c r="L223" s="349"/>
      <c r="M223" s="349"/>
      <c r="N223" s="349"/>
      <c r="O223" s="349"/>
      <c r="P223" s="349"/>
    </row>
    <row r="224" spans="3:16" x14ac:dyDescent="0.35">
      <c r="C224" s="348"/>
      <c r="D224" s="348"/>
      <c r="E224" s="349"/>
      <c r="F224" s="349"/>
      <c r="G224" s="349"/>
      <c r="H224" s="348"/>
      <c r="I224" s="349"/>
      <c r="J224" s="349"/>
      <c r="K224" s="349"/>
      <c r="L224" s="349"/>
      <c r="M224" s="349"/>
      <c r="N224" s="349"/>
      <c r="O224" s="349"/>
      <c r="P224" s="349"/>
    </row>
    <row r="225" spans="3:16" x14ac:dyDescent="0.35">
      <c r="C225" s="348"/>
      <c r="D225" s="348"/>
      <c r="E225" s="349"/>
      <c r="F225" s="349"/>
      <c r="G225" s="349"/>
      <c r="H225" s="348"/>
      <c r="I225" s="349"/>
      <c r="J225" s="349"/>
      <c r="K225" s="349"/>
      <c r="L225" s="349"/>
      <c r="M225" s="349"/>
      <c r="N225" s="349"/>
      <c r="O225" s="349"/>
      <c r="P225" s="349"/>
    </row>
    <row r="226" spans="3:16" x14ac:dyDescent="0.35">
      <c r="C226" s="348"/>
      <c r="D226" s="348"/>
      <c r="E226" s="349"/>
      <c r="F226" s="349"/>
      <c r="G226" s="349"/>
      <c r="H226" s="348"/>
      <c r="I226" s="349"/>
      <c r="J226" s="349"/>
      <c r="K226" s="349"/>
      <c r="L226" s="349"/>
      <c r="M226" s="349"/>
      <c r="N226" s="349"/>
      <c r="O226" s="349"/>
      <c r="P226" s="349"/>
    </row>
    <row r="227" spans="3:16" x14ac:dyDescent="0.35">
      <c r="C227" s="348"/>
      <c r="D227" s="348"/>
      <c r="E227" s="349"/>
      <c r="F227" s="349"/>
      <c r="G227" s="349"/>
      <c r="H227" s="348"/>
      <c r="I227" s="349"/>
      <c r="J227" s="349"/>
      <c r="K227" s="349"/>
      <c r="L227" s="349"/>
      <c r="M227" s="349"/>
      <c r="N227" s="349"/>
      <c r="O227" s="349"/>
      <c r="P227" s="349"/>
    </row>
    <row r="228" spans="3:16" x14ac:dyDescent="0.35">
      <c r="C228" s="348"/>
      <c r="D228" s="348"/>
      <c r="E228" s="349"/>
      <c r="F228" s="349"/>
      <c r="G228" s="349"/>
      <c r="H228" s="348"/>
      <c r="I228" s="349"/>
      <c r="J228" s="349"/>
      <c r="K228" s="349"/>
      <c r="L228" s="349"/>
      <c r="M228" s="349"/>
      <c r="N228" s="349"/>
      <c r="O228" s="349"/>
      <c r="P228" s="349"/>
    </row>
    <row r="229" spans="3:16" x14ac:dyDescent="0.35">
      <c r="C229" s="348"/>
      <c r="D229" s="348"/>
      <c r="E229" s="349"/>
      <c r="F229" s="349"/>
      <c r="G229" s="349"/>
      <c r="H229" s="348"/>
      <c r="I229" s="349"/>
      <c r="J229" s="349"/>
      <c r="K229" s="349"/>
      <c r="L229" s="349"/>
      <c r="M229" s="349"/>
      <c r="N229" s="349"/>
      <c r="O229" s="349"/>
      <c r="P229" s="349"/>
    </row>
    <row r="230" spans="3:16" x14ac:dyDescent="0.35">
      <c r="C230" s="348"/>
      <c r="D230" s="348"/>
      <c r="E230" s="349"/>
      <c r="F230" s="349"/>
      <c r="G230" s="349"/>
      <c r="H230" s="348"/>
      <c r="I230" s="349"/>
      <c r="J230" s="349"/>
      <c r="K230" s="349"/>
      <c r="L230" s="349"/>
      <c r="M230" s="349"/>
      <c r="N230" s="349"/>
      <c r="O230" s="349"/>
      <c r="P230" s="349"/>
    </row>
    <row r="231" spans="3:16" x14ac:dyDescent="0.35">
      <c r="C231" s="348"/>
      <c r="D231" s="348"/>
      <c r="E231" s="349"/>
      <c r="F231" s="349"/>
      <c r="G231" s="349"/>
      <c r="H231" s="348"/>
      <c r="I231" s="349"/>
      <c r="J231" s="349"/>
      <c r="K231" s="349"/>
      <c r="L231" s="349"/>
      <c r="M231" s="349"/>
      <c r="N231" s="349"/>
      <c r="O231" s="349"/>
      <c r="P231" s="349"/>
    </row>
    <row r="232" spans="3:16" x14ac:dyDescent="0.35">
      <c r="C232" s="348"/>
      <c r="D232" s="348"/>
      <c r="E232" s="349"/>
      <c r="F232" s="349"/>
      <c r="G232" s="349"/>
      <c r="H232" s="348"/>
      <c r="I232" s="349"/>
      <c r="J232" s="349"/>
      <c r="K232" s="349"/>
      <c r="L232" s="349"/>
      <c r="M232" s="349"/>
      <c r="N232" s="349"/>
      <c r="O232" s="349"/>
      <c r="P232" s="349"/>
    </row>
    <row r="233" spans="3:16" x14ac:dyDescent="0.35">
      <c r="C233" s="348"/>
      <c r="D233" s="348"/>
      <c r="E233" s="349"/>
      <c r="F233" s="349"/>
      <c r="G233" s="349"/>
      <c r="H233" s="348"/>
      <c r="I233" s="349"/>
      <c r="J233" s="349"/>
      <c r="K233" s="349"/>
      <c r="L233" s="349"/>
      <c r="M233" s="349"/>
      <c r="N233" s="349"/>
      <c r="O233" s="349"/>
      <c r="P233" s="349"/>
    </row>
    <row r="234" spans="3:16" x14ac:dyDescent="0.35">
      <c r="C234" s="348"/>
      <c r="D234" s="348"/>
      <c r="E234" s="349"/>
      <c r="F234" s="349"/>
      <c r="G234" s="349"/>
      <c r="H234" s="348"/>
      <c r="I234" s="349"/>
      <c r="J234" s="349"/>
      <c r="K234" s="349"/>
      <c r="L234" s="349"/>
      <c r="M234" s="349"/>
      <c r="N234" s="349"/>
      <c r="O234" s="349"/>
      <c r="P234" s="349"/>
    </row>
    <row r="235" spans="3:16" x14ac:dyDescent="0.35">
      <c r="C235" s="348"/>
      <c r="D235" s="348"/>
      <c r="E235" s="349"/>
      <c r="F235" s="349"/>
      <c r="G235" s="349"/>
      <c r="H235" s="348"/>
      <c r="I235" s="349"/>
      <c r="J235" s="349"/>
      <c r="K235" s="349"/>
      <c r="L235" s="349"/>
      <c r="M235" s="349"/>
      <c r="N235" s="349"/>
      <c r="O235" s="349"/>
      <c r="P235" s="349"/>
    </row>
    <row r="236" spans="3:16" x14ac:dyDescent="0.35">
      <c r="C236" s="348"/>
      <c r="D236" s="348"/>
      <c r="E236" s="349"/>
      <c r="F236" s="349"/>
      <c r="G236" s="349"/>
      <c r="H236" s="348"/>
      <c r="I236" s="349"/>
      <c r="J236" s="349"/>
      <c r="K236" s="349"/>
      <c r="L236" s="349"/>
      <c r="M236" s="349"/>
      <c r="N236" s="349"/>
      <c r="O236" s="349"/>
      <c r="P236" s="349"/>
    </row>
    <row r="237" spans="3:16" x14ac:dyDescent="0.35">
      <c r="C237" s="348"/>
      <c r="D237" s="348"/>
      <c r="E237" s="349"/>
      <c r="F237" s="349"/>
      <c r="G237" s="349"/>
      <c r="H237" s="348"/>
      <c r="I237" s="349"/>
      <c r="J237" s="349"/>
      <c r="K237" s="349"/>
      <c r="L237" s="349"/>
      <c r="M237" s="349"/>
      <c r="N237" s="349"/>
      <c r="O237" s="349"/>
      <c r="P237" s="349"/>
    </row>
    <row r="238" spans="3:16" x14ac:dyDescent="0.35">
      <c r="C238" s="348"/>
      <c r="D238" s="348"/>
      <c r="E238" s="349"/>
      <c r="F238" s="349"/>
      <c r="G238" s="349"/>
      <c r="H238" s="348"/>
      <c r="I238" s="349"/>
      <c r="J238" s="349"/>
      <c r="K238" s="349"/>
      <c r="L238" s="349"/>
      <c r="M238" s="349"/>
      <c r="N238" s="349"/>
      <c r="O238" s="349"/>
      <c r="P238" s="349"/>
    </row>
    <row r="239" spans="3:16" x14ac:dyDescent="0.35">
      <c r="C239" s="348"/>
      <c r="D239" s="348"/>
      <c r="E239" s="349"/>
      <c r="F239" s="349"/>
      <c r="G239" s="349"/>
      <c r="H239" s="348"/>
      <c r="I239" s="349"/>
      <c r="J239" s="349"/>
      <c r="K239" s="349"/>
      <c r="L239" s="349"/>
      <c r="M239" s="349"/>
      <c r="N239" s="349"/>
      <c r="O239" s="349"/>
      <c r="P239" s="349"/>
    </row>
    <row r="240" spans="3:16" x14ac:dyDescent="0.35">
      <c r="C240" s="348"/>
      <c r="D240" s="348"/>
      <c r="E240" s="349"/>
      <c r="F240" s="349"/>
      <c r="G240" s="349"/>
      <c r="H240" s="348"/>
      <c r="I240" s="349"/>
      <c r="J240" s="349"/>
      <c r="K240" s="349"/>
      <c r="L240" s="349"/>
      <c r="M240" s="349"/>
      <c r="N240" s="349"/>
      <c r="O240" s="349"/>
      <c r="P240" s="349"/>
    </row>
    <row r="241" spans="3:16" x14ac:dyDescent="0.35">
      <c r="C241" s="348"/>
      <c r="D241" s="348"/>
      <c r="E241" s="349"/>
      <c r="F241" s="349"/>
      <c r="G241" s="349"/>
      <c r="H241" s="348"/>
      <c r="I241" s="349"/>
      <c r="J241" s="349"/>
      <c r="K241" s="349"/>
      <c r="L241" s="349"/>
      <c r="M241" s="349"/>
      <c r="N241" s="349"/>
      <c r="O241" s="349"/>
      <c r="P241" s="349"/>
    </row>
    <row r="242" spans="3:16" x14ac:dyDescent="0.35">
      <c r="C242" s="348"/>
      <c r="D242" s="348"/>
      <c r="E242" s="349"/>
      <c r="F242" s="349"/>
      <c r="G242" s="349"/>
      <c r="H242" s="348"/>
      <c r="I242" s="349"/>
      <c r="J242" s="349"/>
      <c r="K242" s="349"/>
      <c r="L242" s="349"/>
      <c r="M242" s="349"/>
      <c r="N242" s="349"/>
      <c r="O242" s="349"/>
      <c r="P242" s="349"/>
    </row>
    <row r="243" spans="3:16" x14ac:dyDescent="0.35">
      <c r="C243" s="348"/>
      <c r="D243" s="348"/>
      <c r="E243" s="349"/>
      <c r="F243" s="349"/>
      <c r="G243" s="349"/>
      <c r="H243" s="348"/>
      <c r="I243" s="349"/>
      <c r="J243" s="349"/>
      <c r="K243" s="349"/>
      <c r="L243" s="349"/>
      <c r="M243" s="349"/>
      <c r="N243" s="349"/>
      <c r="O243" s="349"/>
      <c r="P243" s="349"/>
    </row>
    <row r="244" spans="3:16" x14ac:dyDescent="0.35">
      <c r="C244" s="348"/>
      <c r="D244" s="348"/>
      <c r="E244" s="349"/>
      <c r="F244" s="349"/>
      <c r="G244" s="349"/>
      <c r="H244" s="348"/>
      <c r="I244" s="349"/>
      <c r="J244" s="349"/>
      <c r="K244" s="349"/>
      <c r="L244" s="349"/>
      <c r="M244" s="349"/>
      <c r="N244" s="349"/>
      <c r="O244" s="349"/>
      <c r="P244" s="349"/>
    </row>
    <row r="245" spans="3:16" x14ac:dyDescent="0.35">
      <c r="C245" s="348"/>
      <c r="D245" s="348"/>
      <c r="E245" s="349"/>
      <c r="F245" s="349"/>
      <c r="G245" s="349"/>
      <c r="H245" s="348"/>
      <c r="I245" s="349"/>
      <c r="J245" s="349"/>
      <c r="K245" s="349"/>
      <c r="L245" s="349"/>
      <c r="M245" s="349"/>
      <c r="N245" s="349"/>
      <c r="O245" s="349"/>
      <c r="P245" s="349"/>
    </row>
    <row r="246" spans="3:16" x14ac:dyDescent="0.35">
      <c r="C246" s="348"/>
      <c r="D246" s="348"/>
      <c r="E246" s="349"/>
      <c r="F246" s="349"/>
      <c r="G246" s="349"/>
      <c r="H246" s="348"/>
      <c r="I246" s="349"/>
      <c r="J246" s="349"/>
      <c r="K246" s="349"/>
      <c r="L246" s="349"/>
      <c r="M246" s="349"/>
      <c r="N246" s="349"/>
      <c r="O246" s="349"/>
      <c r="P246" s="349"/>
    </row>
    <row r="247" spans="3:16" x14ac:dyDescent="0.35">
      <c r="C247" s="348"/>
      <c r="D247" s="348"/>
      <c r="E247" s="349"/>
      <c r="F247" s="349"/>
      <c r="G247" s="349"/>
      <c r="H247" s="348"/>
      <c r="I247" s="349"/>
      <c r="J247" s="349"/>
      <c r="K247" s="349"/>
      <c r="L247" s="349"/>
      <c r="M247" s="349"/>
      <c r="N247" s="349"/>
      <c r="O247" s="349"/>
      <c r="P247" s="349"/>
    </row>
    <row r="248" spans="3:16" x14ac:dyDescent="0.35">
      <c r="C248" s="348"/>
      <c r="D248" s="348"/>
      <c r="E248" s="349"/>
      <c r="F248" s="349"/>
      <c r="G248" s="349"/>
      <c r="H248" s="348"/>
      <c r="I248" s="349"/>
      <c r="J248" s="349"/>
      <c r="K248" s="349"/>
      <c r="L248" s="349"/>
      <c r="M248" s="349"/>
      <c r="N248" s="349"/>
      <c r="O248" s="349"/>
      <c r="P248" s="349"/>
    </row>
  </sheetData>
  <mergeCells count="36">
    <mergeCell ref="L5:O5"/>
    <mergeCell ref="P15:T25"/>
    <mergeCell ref="D5:G5"/>
    <mergeCell ref="R10:X11"/>
    <mergeCell ref="B51:C51"/>
    <mergeCell ref="B17:C17"/>
    <mergeCell ref="B53:C53"/>
    <mergeCell ref="B55:C55"/>
    <mergeCell ref="D7:G7"/>
    <mergeCell ref="B5:C5"/>
    <mergeCell ref="B39:B41"/>
    <mergeCell ref="B43:B45"/>
    <mergeCell ref="B47:B49"/>
    <mergeCell ref="B19:B21"/>
    <mergeCell ref="B23:B25"/>
    <mergeCell ref="B27:B29"/>
    <mergeCell ref="B31:B33"/>
    <mergeCell ref="B35:B37"/>
    <mergeCell ref="B15:C15"/>
    <mergeCell ref="B16:C16"/>
    <mergeCell ref="B79:C79"/>
    <mergeCell ref="B57:C57"/>
    <mergeCell ref="B59:C59"/>
    <mergeCell ref="B63:F63"/>
    <mergeCell ref="B65:F65"/>
    <mergeCell ref="B68:F68"/>
    <mergeCell ref="B70:G70"/>
    <mergeCell ref="D77:E77"/>
    <mergeCell ref="B73:F73"/>
    <mergeCell ref="B77:C77"/>
    <mergeCell ref="B71:F71"/>
    <mergeCell ref="G68:O68"/>
    <mergeCell ref="G63:H63"/>
    <mergeCell ref="G67:H67"/>
    <mergeCell ref="G65:H65"/>
    <mergeCell ref="B67:F67"/>
  </mergeCells>
  <conditionalFormatting sqref="B71">
    <cfRule type="expression" dxfId="105" priority="20" stopIfTrue="1">
      <formula>OR($G$63=$G$125,$G$65=$G$125,$G$67=$G$125)</formula>
    </cfRule>
  </conditionalFormatting>
  <conditionalFormatting sqref="C9:I10">
    <cfRule type="expression" dxfId="104" priority="2">
      <formula>NOT(OR($D$5=$C$169,$D$5=$C$168))</formula>
    </cfRule>
  </conditionalFormatting>
  <conditionalFormatting sqref="D23:D25">
    <cfRule type="expression" dxfId="103" priority="335" stopIfTrue="1">
      <formula>OR($D$15=$G$126,$D$16=$G$136,$D$17&lt;2)</formula>
    </cfRule>
  </conditionalFormatting>
  <conditionalFormatting sqref="D27:D29">
    <cfRule type="expression" dxfId="102" priority="332" stopIfTrue="1">
      <formula>OR($D$15=$G$126,$D$16=$G$136,$D$17&lt;3)</formula>
    </cfRule>
  </conditionalFormatting>
  <conditionalFormatting sqref="D31:D33">
    <cfRule type="expression" dxfId="101" priority="329" stopIfTrue="1">
      <formula>OR($D$15=$G$126,$D$16=$G$136,$D$17&lt;4)</formula>
    </cfRule>
  </conditionalFormatting>
  <conditionalFormatting sqref="D35:D37">
    <cfRule type="expression" dxfId="100" priority="326" stopIfTrue="1">
      <formula>OR($D$15=$G$126,$D$16=$G$136,$D$17&lt;5)</formula>
    </cfRule>
  </conditionalFormatting>
  <conditionalFormatting sqref="D39:D41">
    <cfRule type="expression" dxfId="99" priority="323" stopIfTrue="1">
      <formula>OR($D$15=$G$126,$D$16=$G$136,$D$17&lt;6)</formula>
    </cfRule>
  </conditionalFormatting>
  <conditionalFormatting sqref="D43:D45">
    <cfRule type="expression" dxfId="98" priority="320" stopIfTrue="1">
      <formula>OR($D$15=$G$126,$D$16=$G$136,$D$17&lt;7)</formula>
    </cfRule>
  </conditionalFormatting>
  <conditionalFormatting sqref="D47:D49">
    <cfRule type="expression" dxfId="97" priority="317" stopIfTrue="1">
      <formula>OR($D$15=$G$126,$D$16=$G$136,$D$17&lt;8)</formula>
    </cfRule>
  </conditionalFormatting>
  <conditionalFormatting sqref="D7:G7">
    <cfRule type="expression" dxfId="96" priority="4" stopIfTrue="1">
      <formula>OR($D$5=$C$156,$D$5=$C$157)</formula>
    </cfRule>
  </conditionalFormatting>
  <conditionalFormatting sqref="D16:O16">
    <cfRule type="expression" dxfId="95" priority="607" stopIfTrue="1">
      <formula>D15=$G$126</formula>
    </cfRule>
  </conditionalFormatting>
  <conditionalFormatting sqref="D17:O17">
    <cfRule type="expression" dxfId="94" priority="475" stopIfTrue="1">
      <formula>D16=$G$136</formula>
    </cfRule>
    <cfRule type="expression" dxfId="93" priority="476" stopIfTrue="1">
      <formula>D15=$G$126</formula>
    </cfRule>
  </conditionalFormatting>
  <conditionalFormatting sqref="D19:O19">
    <cfRule type="expression" dxfId="92" priority="22" stopIfTrue="1">
      <formula>OR(D15=$G$126,D16=$G$136)</formula>
    </cfRule>
  </conditionalFormatting>
  <conditionalFormatting sqref="D20:O20">
    <cfRule type="expression" dxfId="91" priority="23" stopIfTrue="1">
      <formula>OR(D15=$G$126,D16=$G$136)</formula>
    </cfRule>
    <cfRule type="expression" dxfId="90" priority="24" stopIfTrue="1">
      <formula>D17=1</formula>
    </cfRule>
  </conditionalFormatting>
  <conditionalFormatting sqref="D21:O21">
    <cfRule type="expression" dxfId="89" priority="21" stopIfTrue="1">
      <formula>OR(D15=$G$126,D16=$G$136)</formula>
    </cfRule>
  </conditionalFormatting>
  <conditionalFormatting sqref="D51:O51">
    <cfRule type="expression" dxfId="88" priority="6" stopIfTrue="1">
      <formula>D17=1</formula>
    </cfRule>
    <cfRule type="expression" dxfId="87" priority="418" stopIfTrue="1">
      <formula>D15=$G$126</formula>
    </cfRule>
    <cfRule type="expression" dxfId="86" priority="419" stopIfTrue="1">
      <formula>D16=$G$136</formula>
    </cfRule>
  </conditionalFormatting>
  <conditionalFormatting sqref="D53:O53">
    <cfRule type="expression" dxfId="85" priority="394" stopIfTrue="1">
      <formula>D15=$G$126</formula>
    </cfRule>
    <cfRule type="expression" dxfId="84" priority="395" stopIfTrue="1">
      <formula>D16=$G$136</formula>
    </cfRule>
  </conditionalFormatting>
  <conditionalFormatting sqref="D55:O55">
    <cfRule type="expression" dxfId="83" priority="18" stopIfTrue="1">
      <formula>D15=$G$126</formula>
    </cfRule>
    <cfRule type="expression" dxfId="82" priority="19" stopIfTrue="1">
      <formula>D16=$G$136</formula>
    </cfRule>
  </conditionalFormatting>
  <conditionalFormatting sqref="D57:O57">
    <cfRule type="expression" dxfId="81" priority="350" stopIfTrue="1">
      <formula>D15=$G$126</formula>
    </cfRule>
    <cfRule type="expression" dxfId="80" priority="351" stopIfTrue="1">
      <formula>D16=$G$136</formula>
    </cfRule>
  </conditionalFormatting>
  <conditionalFormatting sqref="E23:E25">
    <cfRule type="expression" dxfId="79" priority="312" stopIfTrue="1">
      <formula>OR($E$15=$G$126,$E$16=$G$136,$E$17&lt;2)</formula>
    </cfRule>
  </conditionalFormatting>
  <conditionalFormatting sqref="E27:E29">
    <cfRule type="expression" dxfId="78" priority="308" stopIfTrue="1">
      <formula>OR($E$15=$G$126,$E$16=$G$136,$E$17&lt;3)</formula>
    </cfRule>
  </conditionalFormatting>
  <conditionalFormatting sqref="E31:E33">
    <cfRule type="expression" dxfId="77" priority="305" stopIfTrue="1">
      <formula>OR($E$15=$G$126,$E$16=$G$136,$E$17&lt;4)</formula>
    </cfRule>
  </conditionalFormatting>
  <conditionalFormatting sqref="E35:E37">
    <cfRule type="expression" dxfId="76" priority="302" stopIfTrue="1">
      <formula>OR($E$15=$G$126,$E$16=$G$136,$E$17&lt;5)</formula>
    </cfRule>
  </conditionalFormatting>
  <conditionalFormatting sqref="E39:E41">
    <cfRule type="expression" dxfId="75" priority="299" stopIfTrue="1">
      <formula>OR($E$15=$G$126,$E$16=$G$136,$E$17&lt;6)</formula>
    </cfRule>
  </conditionalFormatting>
  <conditionalFormatting sqref="E43:E45">
    <cfRule type="expression" dxfId="74" priority="296" stopIfTrue="1">
      <formula>OR($E$15=$G$126,$E$16=$G$136,$E$17&lt;7)</formula>
    </cfRule>
  </conditionalFormatting>
  <conditionalFormatting sqref="E47:E49">
    <cfRule type="expression" dxfId="73" priority="293" stopIfTrue="1">
      <formula>OR($E$15=$G$126,$E$16=$G$136,$E$17&lt;8)</formula>
    </cfRule>
  </conditionalFormatting>
  <conditionalFormatting sqref="F23:F25">
    <cfRule type="expression" dxfId="72" priority="290" stopIfTrue="1">
      <formula>OR($F$15=$G$126,$F$16=$G$136,$F$17&lt;2)</formula>
    </cfRule>
  </conditionalFormatting>
  <conditionalFormatting sqref="F27:F29">
    <cfRule type="expression" dxfId="71" priority="287" stopIfTrue="1">
      <formula>OR($F$15=$G$126,$F$16=$G$136,$F$17&lt;3)</formula>
    </cfRule>
  </conditionalFormatting>
  <conditionalFormatting sqref="F31:F33">
    <cfRule type="expression" dxfId="70" priority="284" stopIfTrue="1">
      <formula>OR($F$15=$G$126,$F$16=$G$136,$F$17&lt;4)</formula>
    </cfRule>
  </conditionalFormatting>
  <conditionalFormatting sqref="F35:F37">
    <cfRule type="expression" dxfId="69" priority="281" stopIfTrue="1">
      <formula>OR($F$15=$G$126,$F$16=$G$136,$F$17&lt;5)</formula>
    </cfRule>
  </conditionalFormatting>
  <conditionalFormatting sqref="F39:F41">
    <cfRule type="expression" dxfId="68" priority="278" stopIfTrue="1">
      <formula>OR($F$15=$G$126,$F$16=$G$136,$F$17&lt;6)</formula>
    </cfRule>
  </conditionalFormatting>
  <conditionalFormatting sqref="F43:F45">
    <cfRule type="expression" dxfId="67" priority="275" stopIfTrue="1">
      <formula>OR($F$15=$G$126,$F$16=$G$136,$F$17&lt;7)</formula>
    </cfRule>
  </conditionalFormatting>
  <conditionalFormatting sqref="F47:F49">
    <cfRule type="expression" dxfId="66" priority="272" stopIfTrue="1">
      <formula>OR($F$15=$G$126,$F$16=$G$136,$F$17&lt;8)</formula>
    </cfRule>
  </conditionalFormatting>
  <conditionalFormatting sqref="G23:G25">
    <cfRule type="expression" dxfId="65" priority="269" stopIfTrue="1">
      <formula>OR($G$15=$G$126,$G$16=$G$136,$G$17&lt;2)</formula>
    </cfRule>
  </conditionalFormatting>
  <conditionalFormatting sqref="G27:G29">
    <cfRule type="expression" dxfId="64" priority="266" stopIfTrue="1">
      <formula>OR($G$15=$G$126,$G$16=$G$136,$G$17&lt;3)</formula>
    </cfRule>
  </conditionalFormatting>
  <conditionalFormatting sqref="G31:G33">
    <cfRule type="expression" dxfId="63" priority="263" stopIfTrue="1">
      <formula>OR($G$15=$G$126,$G$16=$G$136,$G$17&lt;4)</formula>
    </cfRule>
  </conditionalFormatting>
  <conditionalFormatting sqref="G35:G37">
    <cfRule type="expression" dxfId="62" priority="260" stopIfTrue="1">
      <formula>OR($G$15=$G$126,$G$16=$G$136,$G$17&lt;5)</formula>
    </cfRule>
  </conditionalFormatting>
  <conditionalFormatting sqref="G39:G41">
    <cfRule type="expression" dxfId="61" priority="257" stopIfTrue="1">
      <formula>OR($G$15=$G$126,$G$16=$G$136,$G$17&lt;6)</formula>
    </cfRule>
  </conditionalFormatting>
  <conditionalFormatting sqref="G43:G45">
    <cfRule type="expression" dxfId="60" priority="254" stopIfTrue="1">
      <formula>OR($G$15=$G$126,$G$16=$G$136,$G$17&lt;7)</formula>
    </cfRule>
  </conditionalFormatting>
  <conditionalFormatting sqref="G47:G49">
    <cfRule type="expression" dxfId="59" priority="251" stopIfTrue="1">
      <formula>OR($G$15=$G$126,$G$16=$G$136,$G$17&lt;8)</formula>
    </cfRule>
  </conditionalFormatting>
  <conditionalFormatting sqref="G71">
    <cfRule type="expression" dxfId="58" priority="2506" stopIfTrue="1">
      <formula>OR($B$71=$C$140,$B$71="")</formula>
    </cfRule>
  </conditionalFormatting>
  <conditionalFormatting sqref="H23:H25">
    <cfRule type="expression" dxfId="57" priority="248" stopIfTrue="1">
      <formula>OR($H$15=$G$126,$H$16=$G$136,$H$17&lt;2)</formula>
    </cfRule>
  </conditionalFormatting>
  <conditionalFormatting sqref="H27:H29">
    <cfRule type="expression" dxfId="56" priority="245" stopIfTrue="1">
      <formula>OR($H$15=$G$126,$H$16=$G$136,$H$17&lt;3)</formula>
    </cfRule>
  </conditionalFormatting>
  <conditionalFormatting sqref="H31:H33">
    <cfRule type="expression" dxfId="55" priority="242" stopIfTrue="1">
      <formula>OR($H$15=$G$126,$H$16=$G$136,$H$17&lt;4)</formula>
    </cfRule>
  </conditionalFormatting>
  <conditionalFormatting sqref="H35:H37">
    <cfRule type="expression" dxfId="54" priority="239" stopIfTrue="1">
      <formula>OR($H$15=$G$126,$H$16=$G$136,$H$17&lt;5)</formula>
    </cfRule>
  </conditionalFormatting>
  <conditionalFormatting sqref="H39:H41">
    <cfRule type="expression" dxfId="53" priority="236" stopIfTrue="1">
      <formula>OR($H$15=$G$126,$H$16=$G$136,$H$17&lt;6)</formula>
    </cfRule>
  </conditionalFormatting>
  <conditionalFormatting sqref="H43:H45">
    <cfRule type="expression" dxfId="52" priority="233" stopIfTrue="1">
      <formula>OR($H$15=$G$126,$H$16=$G$136,$H$17&lt;7)</formula>
    </cfRule>
  </conditionalFormatting>
  <conditionalFormatting sqref="H47:H49">
    <cfRule type="expression" dxfId="51" priority="230" stopIfTrue="1">
      <formula>OR($H$15=$G$126,$H$16=$G$136,$H$17&lt;8)</formula>
    </cfRule>
  </conditionalFormatting>
  <conditionalFormatting sqref="H5:K5">
    <cfRule type="expression" dxfId="50" priority="1">
      <formula>OR($D$5=$C$156,$D$5=$C$157)</formula>
    </cfRule>
  </conditionalFormatting>
  <conditionalFormatting sqref="I23:I25">
    <cfRule type="expression" dxfId="49" priority="227" stopIfTrue="1">
      <formula>OR($I$15=$G$126,$I$16=$G$136,$I$17&lt;2)</formula>
    </cfRule>
  </conditionalFormatting>
  <conditionalFormatting sqref="I27:I29">
    <cfRule type="expression" dxfId="48" priority="224" stopIfTrue="1">
      <formula>OR($I$15=$G$126,$I$16=$G$136,$I$17&lt;3)</formula>
    </cfRule>
  </conditionalFormatting>
  <conditionalFormatting sqref="I31:I33">
    <cfRule type="expression" dxfId="47" priority="221" stopIfTrue="1">
      <formula>OR($I$15=$G$126,$I$16=$G$136,$I$17&lt;4)</formula>
    </cfRule>
  </conditionalFormatting>
  <conditionalFormatting sqref="I35:I37">
    <cfRule type="expression" dxfId="46" priority="218" stopIfTrue="1">
      <formula>OR($I$15=$G$126,$I$16=$G$136,$I$17&lt;5)</formula>
    </cfRule>
  </conditionalFormatting>
  <conditionalFormatting sqref="I39:I41">
    <cfRule type="expression" dxfId="45" priority="215" stopIfTrue="1">
      <formula>OR($I$15=$G$126,$I$16=$G$136,$I$17&lt;6)</formula>
    </cfRule>
  </conditionalFormatting>
  <conditionalFormatting sqref="I43:I45">
    <cfRule type="expression" dxfId="44" priority="212" stopIfTrue="1">
      <formula>OR($I$15=$G$126,$I$16=$G$136,$I$17&lt;7)</formula>
    </cfRule>
  </conditionalFormatting>
  <conditionalFormatting sqref="I47:I49">
    <cfRule type="expression" dxfId="43" priority="209" stopIfTrue="1">
      <formula>OR($I$15=$G$126,$I$16=$G$136,$I$17&lt;8)</formula>
    </cfRule>
  </conditionalFormatting>
  <conditionalFormatting sqref="J23:J25">
    <cfRule type="expression" dxfId="42" priority="206" stopIfTrue="1">
      <formula>OR($J$15=$G$126,$J$16=$G$136,$J$17&lt;2)</formula>
    </cfRule>
  </conditionalFormatting>
  <conditionalFormatting sqref="J27:J29">
    <cfRule type="expression" dxfId="41" priority="203" stopIfTrue="1">
      <formula>OR($J$15=$G$126,$J$16=$G$136,$J$17&lt;3)</formula>
    </cfRule>
  </conditionalFormatting>
  <conditionalFormatting sqref="J31:J33">
    <cfRule type="expression" dxfId="40" priority="200" stopIfTrue="1">
      <formula>OR($J$15=$G$126,$J$16=$G$136,$J$17&lt;4)</formula>
    </cfRule>
  </conditionalFormatting>
  <conditionalFormatting sqref="J35:J37">
    <cfRule type="expression" dxfId="39" priority="197" stopIfTrue="1">
      <formula>OR($J$15=$G$126,$J$16=$G$136,$J$17&lt;5)</formula>
    </cfRule>
  </conditionalFormatting>
  <conditionalFormatting sqref="J39:J41">
    <cfRule type="expression" dxfId="38" priority="194" stopIfTrue="1">
      <formula>OR($J$15=$G$126,$J$16=$G$136,$J$17&lt;6)</formula>
    </cfRule>
  </conditionalFormatting>
  <conditionalFormatting sqref="J43:J45">
    <cfRule type="expression" dxfId="37" priority="191" stopIfTrue="1">
      <formula>OR($J$15=$G$126,$J$16=$G$136,$J$17&lt;7)</formula>
    </cfRule>
  </conditionalFormatting>
  <conditionalFormatting sqref="J47:J49">
    <cfRule type="expression" dxfId="36" priority="188" stopIfTrue="1">
      <formula>OR($J$15=$G$126,$J$16=$G$136,$J$17&lt;8)</formula>
    </cfRule>
  </conditionalFormatting>
  <conditionalFormatting sqref="K23:K25">
    <cfRule type="expression" dxfId="35" priority="185" stopIfTrue="1">
      <formula>OR($K$15=$G$126,$K$16=$G$136,$K$17&lt;2)</formula>
    </cfRule>
  </conditionalFormatting>
  <conditionalFormatting sqref="K27:K29">
    <cfRule type="expression" dxfId="34" priority="182" stopIfTrue="1">
      <formula>OR($K$15=$G$126,$K$16=$G$136,$K$17&lt;3)</formula>
    </cfRule>
  </conditionalFormatting>
  <conditionalFormatting sqref="K31:K33">
    <cfRule type="expression" dxfId="33" priority="179" stopIfTrue="1">
      <formula>OR($K$15=$G$126,$K$16=$G$136,$K$17&lt;4)</formula>
    </cfRule>
  </conditionalFormatting>
  <conditionalFormatting sqref="K35:K37">
    <cfRule type="expression" dxfId="32" priority="176" stopIfTrue="1">
      <formula>OR($K$15=$G$126,$K$16=$G$136,$K$17&lt;5)</formula>
    </cfRule>
  </conditionalFormatting>
  <conditionalFormatting sqref="K39:K41">
    <cfRule type="expression" dxfId="31" priority="173" stopIfTrue="1">
      <formula>OR($K$15=$G$126,$K$16=$G$136,$K$17&lt;6)</formula>
    </cfRule>
  </conditionalFormatting>
  <conditionalFormatting sqref="K43:K45">
    <cfRule type="expression" dxfId="30" priority="170" stopIfTrue="1">
      <formula>OR($K$15=$G$126,$K$16=$G$136,$K$17&lt;7)</formula>
    </cfRule>
  </conditionalFormatting>
  <conditionalFormatting sqref="K47:K49">
    <cfRule type="expression" dxfId="29" priority="167" stopIfTrue="1">
      <formula>OR($K$15=$G$126,$K$16=$G$136,$K$17&lt;8)</formula>
    </cfRule>
  </conditionalFormatting>
  <conditionalFormatting sqref="L23:L25">
    <cfRule type="expression" dxfId="28" priority="164" stopIfTrue="1">
      <formula>OR($L$15=$G$126,$L$16=$G$136,$L$17&lt;2)</formula>
    </cfRule>
  </conditionalFormatting>
  <conditionalFormatting sqref="L27:L29">
    <cfRule type="expression" dxfId="27" priority="161" stopIfTrue="1">
      <formula>OR($L$15=$G$126,$L$16=$G$136,$L$17&lt;3)</formula>
    </cfRule>
  </conditionalFormatting>
  <conditionalFormatting sqref="L31:L33">
    <cfRule type="expression" dxfId="26" priority="158" stopIfTrue="1">
      <formula>OR($L$15=$G$126,$L$16=$G$136,$L$17&lt;4)</formula>
    </cfRule>
  </conditionalFormatting>
  <conditionalFormatting sqref="L35:L37">
    <cfRule type="expression" dxfId="25" priority="155" stopIfTrue="1">
      <formula>OR($L$15=$G$126,$L$16=$G$136,$L$17&lt;5)</formula>
    </cfRule>
  </conditionalFormatting>
  <conditionalFormatting sqref="L39:L41">
    <cfRule type="expression" dxfId="24" priority="152" stopIfTrue="1">
      <formula>OR($L$15=$G$126,$L$16=$G$136,$L$17&lt;6)</formula>
    </cfRule>
  </conditionalFormatting>
  <conditionalFormatting sqref="L43:L45">
    <cfRule type="expression" dxfId="23" priority="149" stopIfTrue="1">
      <formula>OR($L$15=$G$126,$L$16=$G$136,$L$17&lt;7)</formula>
    </cfRule>
  </conditionalFormatting>
  <conditionalFormatting sqref="L47:L49">
    <cfRule type="expression" dxfId="22" priority="146" stopIfTrue="1">
      <formula>OR($L$15=$G$126,$L$16=$G$136,$L$17&lt;8)</formula>
    </cfRule>
  </conditionalFormatting>
  <conditionalFormatting sqref="L5:O5">
    <cfRule type="expression" dxfId="21" priority="2560" stopIfTrue="1">
      <formula>OR($D$5=$C$156,$D$5=$C$157)</formula>
    </cfRule>
  </conditionalFormatting>
  <conditionalFormatting sqref="M23:M25">
    <cfRule type="expression" dxfId="20" priority="143" stopIfTrue="1">
      <formula>OR($M$15=$G$126,$M$16=$G$136,$M$17&lt;2)</formula>
    </cfRule>
  </conditionalFormatting>
  <conditionalFormatting sqref="M27:M29">
    <cfRule type="expression" dxfId="19" priority="140" stopIfTrue="1">
      <formula>OR($M$15=$G$126,$M$16=$G$136,$M$17&lt;3)</formula>
    </cfRule>
  </conditionalFormatting>
  <conditionalFormatting sqref="M31:M33">
    <cfRule type="expression" dxfId="18" priority="137" stopIfTrue="1">
      <formula>OR($M$15=$G$126,$M$16=$G$136,$M$17&lt;4)</formula>
    </cfRule>
  </conditionalFormatting>
  <conditionalFormatting sqref="M35:M37">
    <cfRule type="expression" dxfId="17" priority="134" stopIfTrue="1">
      <formula>OR($M$15=$G$126,$M$16=$G$136,$M$17&lt;5)</formula>
    </cfRule>
  </conditionalFormatting>
  <conditionalFormatting sqref="M39:M41">
    <cfRule type="expression" dxfId="16" priority="131" stopIfTrue="1">
      <formula>OR($M$15=$G$126,$M$16=$G$136,$M$17&lt;6)</formula>
    </cfRule>
  </conditionalFormatting>
  <conditionalFormatting sqref="M43:M45">
    <cfRule type="expression" dxfId="15" priority="128" stopIfTrue="1">
      <formula>OR($M$15=$G$126,$M$16=$G$136,$M$17&lt;7)</formula>
    </cfRule>
  </conditionalFormatting>
  <conditionalFormatting sqref="M47:M49">
    <cfRule type="expression" dxfId="14" priority="125" stopIfTrue="1">
      <formula>OR($M$15=$G$126,$M$16=$G$136,$M$17&lt;8)</formula>
    </cfRule>
  </conditionalFormatting>
  <conditionalFormatting sqref="N23:N25">
    <cfRule type="expression" dxfId="13" priority="122" stopIfTrue="1">
      <formula>OR($N$15=$G$126,$N$16=$G$136,$N$17&lt;2)</formula>
    </cfRule>
  </conditionalFormatting>
  <conditionalFormatting sqref="N27:N29">
    <cfRule type="expression" dxfId="12" priority="119" stopIfTrue="1">
      <formula>OR($N$15=$G$126,$N$16=$G$136,$N$17&lt;3)</formula>
    </cfRule>
  </conditionalFormatting>
  <conditionalFormatting sqref="N31:N33">
    <cfRule type="expression" dxfId="11" priority="116" stopIfTrue="1">
      <formula>OR($N$15=$G$126,$N$16=$G$136,$N$17&lt;4)</formula>
    </cfRule>
  </conditionalFormatting>
  <conditionalFormatting sqref="N35:N37">
    <cfRule type="expression" dxfId="10" priority="113" stopIfTrue="1">
      <formula>OR($N$15=$G$126,$N$16=$G$136,$N$17&lt;5)</formula>
    </cfRule>
  </conditionalFormatting>
  <conditionalFormatting sqref="N39:N41">
    <cfRule type="expression" dxfId="9" priority="110" stopIfTrue="1">
      <formula>OR($N$15=$G$126,$N$16=$G$136,$N$17&lt;6)</formula>
    </cfRule>
  </conditionalFormatting>
  <conditionalFormatting sqref="N43:N45">
    <cfRule type="expression" dxfId="8" priority="107" stopIfTrue="1">
      <formula>OR($N$15=$G$126,$N$16=$G$136,$N$17&lt;7)</formula>
    </cfRule>
  </conditionalFormatting>
  <conditionalFormatting sqref="N47:N49">
    <cfRule type="expression" dxfId="7" priority="104" stopIfTrue="1">
      <formula>OR($N$15=$G$126,$N$16=$G$136,$N$17&lt;8)</formula>
    </cfRule>
  </conditionalFormatting>
  <conditionalFormatting sqref="O23:O25">
    <cfRule type="expression" dxfId="6" priority="101" stopIfTrue="1">
      <formula>OR($O$15=$G$126,$O$16=$G$136,$O$17&lt;2)</formula>
    </cfRule>
  </conditionalFormatting>
  <conditionalFormatting sqref="O27:O29">
    <cfRule type="expression" dxfId="5" priority="98" stopIfTrue="1">
      <formula>OR($O$15=$G$126,$O$16=$G$136,$O$17&lt;3)</formula>
    </cfRule>
  </conditionalFormatting>
  <conditionalFormatting sqref="O31:O33">
    <cfRule type="expression" dxfId="4" priority="95" stopIfTrue="1">
      <formula>OR($O$15=$G$126,$O$16=$G$136,$O$17&lt;4)</formula>
    </cfRule>
  </conditionalFormatting>
  <conditionalFormatting sqref="O35:O37">
    <cfRule type="expression" dxfId="3" priority="92" stopIfTrue="1">
      <formula>OR($O$15=$G$126,$O$16=$G$136,$O$17&lt;5)</formula>
    </cfRule>
  </conditionalFormatting>
  <conditionalFormatting sqref="O39:O41">
    <cfRule type="expression" dxfId="2" priority="89" stopIfTrue="1">
      <formula>OR($O$15=$G$126,$O$16=$G$136,$O$17&lt;6)</formula>
    </cfRule>
  </conditionalFormatting>
  <conditionalFormatting sqref="O43:O45">
    <cfRule type="expression" dxfId="1" priority="86" stopIfTrue="1">
      <formula>OR($O$15=$G$126,$O$16=$G$136,$O$17&lt;7)</formula>
    </cfRule>
  </conditionalFormatting>
  <conditionalFormatting sqref="O47:O49">
    <cfRule type="expression" dxfId="0" priority="83" stopIfTrue="1">
      <formula>OR($O$15=$G$126,$O$16=$G$136,$O$17&lt;8)</formula>
    </cfRule>
  </conditionalFormatting>
  <dataValidations xWindow="803" yWindow="529" count="11">
    <dataValidation type="list" allowBlank="1" showInputMessage="1" showErrorMessage="1" sqref="B71" xr:uid="{00000000-0002-0000-0B00-000000000000}">
      <formula1>$C$140:$C$143</formula1>
    </dataValidation>
    <dataValidation type="list" allowBlank="1" showInputMessage="1" showErrorMessage="1" sqref="G67 G65:H65 G63:H63 D9" xr:uid="{00000000-0002-0000-0B00-000001000000}">
      <formula1>$G$124:$G$126</formula1>
    </dataValidation>
    <dataValidation allowBlank="1" showInputMessage="1" showErrorMessage="1" prompt="If you are inputting only one type of specification for this component then you do not need to enter the number of fittings for the component type. The no. of fittings is required onlywhere there are multiple specifications of the same component type._x000a_" sqref="D20:O20" xr:uid="{00000000-0002-0000-0B00-000002000000}"/>
    <dataValidation type="list" allowBlank="1" showInputMessage="1" showErrorMessage="1" sqref="D17:O17" xr:uid="{00000000-0002-0000-0B00-000003000000}">
      <formula1>Wat01_Component_type_no_list</formula1>
    </dataValidation>
    <dataValidation type="list" allowBlank="1" showInputMessage="1" showErrorMessage="1" sqref="D10" xr:uid="{00000000-0002-0000-0B00-000004000000}">
      <formula1>$C$159:$C$162</formula1>
    </dataValidation>
    <dataValidation type="list" allowBlank="1" showInputMessage="1" showErrorMessage="1" sqref="D16:O16" xr:uid="{00000000-0002-0000-0B00-000005000000}">
      <formula1>$G$134:$G$136</formula1>
    </dataValidation>
    <dataValidation type="list" allowBlank="1" showInputMessage="1" showErrorMessage="1" sqref="D8:G8 D6:G6" xr:uid="{00000000-0002-0000-0B00-000006000000}">
      <formula1>$C$157</formula1>
    </dataValidation>
    <dataValidation type="list" allowBlank="1" showInputMessage="1" showErrorMessage="1" sqref="D7:G7" xr:uid="{00000000-0002-0000-0B00-000007000000}">
      <formula1>Precipitation_List</formula1>
    </dataValidation>
    <dataValidation type="list" allowBlank="1" showInputMessage="1" showErrorMessage="1" sqref="D5:G5" xr:uid="{00000000-0002-0000-0B00-000008000000}">
      <formula1>$C$166:$C$171</formula1>
    </dataValidation>
    <dataValidation type="decimal" operator="lessThanOrEqual" allowBlank="1" showInputMessage="1" showErrorMessage="1" sqref="H9" xr:uid="{00000000-0002-0000-0B00-000009000000}">
      <formula1>1</formula1>
    </dataValidation>
    <dataValidation type="list" allowBlank="1" showInputMessage="1" showErrorMessage="1" prompt="Refer to table 39 in the BREEAM International NC 2016 manual for the definitions of the various water efficient component levels." sqref="D19:O19 D23:O23 D43:O43 D39:O39 D35:O35 D31:O31 D27:O27 D47:O47" xr:uid="{00000000-0002-0000-0B00-00000A000000}">
      <formula1>$D$116:$D$122</formula1>
    </dataValidation>
  </dataValidations>
  <pageMargins left="0.7" right="0.7" top="0.75" bottom="0.75" header="0.3" footer="0.3"/>
  <pageSetup paperSize="9" orientation="portrait" r:id="rId1"/>
  <ignoredErrors>
    <ignoredError sqref="D33 D29" evalError="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08"/>
  <sheetViews>
    <sheetView zoomScale="90" zoomScaleNormal="90" workbookViewId="0">
      <pane ySplit="2" topLeftCell="A3" activePane="bottomLeft" state="frozen"/>
      <selection activeCell="M4" sqref="M4"/>
      <selection pane="bottomLeft" activeCell="G14" sqref="G14"/>
    </sheetView>
  </sheetViews>
  <sheetFormatPr defaultColWidth="9.1796875" defaultRowHeight="13" x14ac:dyDescent="0.3"/>
  <cols>
    <col min="1" max="1" width="3.453125" style="121" customWidth="1"/>
    <col min="2" max="2" width="4.7265625" style="121" customWidth="1"/>
    <col min="3" max="3" width="38.81640625" style="121" customWidth="1"/>
    <col min="4" max="4" width="22.81640625" style="121" customWidth="1"/>
    <col min="5" max="5" width="28.81640625" style="121" customWidth="1"/>
    <col min="6" max="7" width="15.1796875" style="121" customWidth="1"/>
    <col min="8" max="8" width="19.26953125" style="121" customWidth="1"/>
    <col min="9" max="16384" width="9.1796875" style="87"/>
  </cols>
  <sheetData>
    <row r="1" spans="1:13" x14ac:dyDescent="0.3">
      <c r="A1" s="87"/>
      <c r="B1" s="87"/>
      <c r="C1" s="87"/>
      <c r="D1" s="87"/>
      <c r="E1" s="87"/>
      <c r="F1" s="87"/>
      <c r="G1" s="87"/>
      <c r="H1" s="87"/>
    </row>
    <row r="2" spans="1:13" ht="36" customHeight="1" x14ac:dyDescent="0.3">
      <c r="A2" s="87"/>
      <c r="B2" s="440" t="s">
        <v>987</v>
      </c>
      <c r="C2" s="440"/>
      <c r="D2" s="440"/>
      <c r="E2" s="440"/>
      <c r="F2" s="440"/>
      <c r="G2" s="440"/>
      <c r="H2" s="440"/>
    </row>
    <row r="3" spans="1:13" ht="15" customHeight="1" x14ac:dyDescent="0.3">
      <c r="A3" s="87"/>
      <c r="B3" s="87"/>
      <c r="C3" s="87"/>
      <c r="D3" s="87"/>
      <c r="E3" s="87"/>
      <c r="F3" s="87"/>
      <c r="G3" s="87"/>
      <c r="H3" s="87"/>
    </row>
    <row r="4" spans="1:13" ht="25" customHeight="1" x14ac:dyDescent="0.3">
      <c r="A4" s="87"/>
      <c r="B4" s="422" t="s">
        <v>988</v>
      </c>
      <c r="C4" s="440"/>
      <c r="D4" s="440"/>
      <c r="E4" s="440"/>
      <c r="F4" s="440"/>
      <c r="G4" s="440"/>
      <c r="H4" s="440"/>
      <c r="J4" s="110" t="s">
        <v>690</v>
      </c>
      <c r="K4" s="110"/>
    </row>
    <row r="5" spans="1:13" ht="15" customHeight="1" x14ac:dyDescent="0.3">
      <c r="A5" s="87"/>
      <c r="B5" s="268"/>
      <c r="C5" s="268"/>
      <c r="D5" s="268"/>
      <c r="E5" s="87"/>
      <c r="F5" s="87"/>
      <c r="G5" s="87"/>
      <c r="H5" s="87"/>
      <c r="J5" s="414"/>
      <c r="K5" s="136" t="s">
        <v>691</v>
      </c>
    </row>
    <row r="6" spans="1:13" ht="15" customHeight="1" x14ac:dyDescent="0.3">
      <c r="A6" s="87"/>
      <c r="B6" s="621" t="s">
        <v>692</v>
      </c>
      <c r="C6" s="622"/>
      <c r="D6" s="616"/>
      <c r="E6" s="617"/>
      <c r="F6" s="617"/>
      <c r="G6" s="617"/>
      <c r="H6" s="618"/>
      <c r="J6" s="287"/>
      <c r="K6" s="136" t="s">
        <v>693</v>
      </c>
      <c r="L6" s="110"/>
      <c r="M6" s="110"/>
    </row>
    <row r="7" spans="1:13" ht="15" customHeight="1" x14ac:dyDescent="0.3">
      <c r="A7" s="87"/>
      <c r="B7" s="87"/>
      <c r="C7" s="87"/>
      <c r="D7" s="87"/>
      <c r="E7" s="87"/>
      <c r="F7" s="87"/>
      <c r="G7" s="87"/>
      <c r="H7" s="87"/>
    </row>
    <row r="8" spans="1:13" ht="15" customHeight="1" x14ac:dyDescent="0.3">
      <c r="A8" s="87"/>
      <c r="B8" s="621" t="s">
        <v>695</v>
      </c>
      <c r="C8" s="622"/>
      <c r="D8" s="616"/>
      <c r="E8" s="617"/>
      <c r="F8" s="617"/>
      <c r="G8" s="617"/>
      <c r="H8" s="618"/>
    </row>
    <row r="9" spans="1:13" ht="25" customHeight="1" x14ac:dyDescent="0.3">
      <c r="A9" s="87"/>
      <c r="B9" s="87"/>
      <c r="C9" s="87"/>
      <c r="D9" s="87"/>
      <c r="E9" s="87"/>
      <c r="F9" s="87"/>
      <c r="G9" s="87"/>
      <c r="H9" s="87"/>
    </row>
    <row r="10" spans="1:13" ht="25" customHeight="1" x14ac:dyDescent="0.3">
      <c r="A10" s="87"/>
      <c r="B10" s="422" t="s">
        <v>989</v>
      </c>
      <c r="C10" s="422"/>
      <c r="D10" s="422"/>
      <c r="E10" s="422"/>
      <c r="F10" s="422"/>
      <c r="G10" s="422"/>
      <c r="H10" s="422"/>
    </row>
    <row r="11" spans="1:13" ht="25" customHeight="1" x14ac:dyDescent="0.3">
      <c r="A11" s="87"/>
      <c r="B11" s="87"/>
      <c r="C11" s="87"/>
      <c r="D11" s="87"/>
      <c r="E11" s="87"/>
      <c r="F11" s="87"/>
      <c r="G11" s="87"/>
      <c r="H11" s="87"/>
    </row>
    <row r="12" spans="1:13" ht="28.5" customHeight="1" x14ac:dyDescent="0.3">
      <c r="A12" s="87"/>
      <c r="B12" s="567" t="s">
        <v>990</v>
      </c>
      <c r="C12" s="568"/>
      <c r="D12" s="569"/>
      <c r="E12" s="444" t="s">
        <v>991</v>
      </c>
      <c r="F12" s="444" t="s">
        <v>992</v>
      </c>
      <c r="G12" s="444"/>
      <c r="H12" s="444" t="s">
        <v>993</v>
      </c>
    </row>
    <row r="13" spans="1:13" ht="15" customHeight="1" x14ac:dyDescent="0.3">
      <c r="A13" s="87"/>
      <c r="B13" s="303">
        <v>1</v>
      </c>
      <c r="C13" s="619"/>
      <c r="D13" s="620"/>
      <c r="E13" s="221"/>
      <c r="F13" s="412"/>
      <c r="G13" s="411"/>
      <c r="H13" s="94">
        <f>E13*F13</f>
        <v>0</v>
      </c>
    </row>
    <row r="14" spans="1:13" ht="15" customHeight="1" x14ac:dyDescent="0.3">
      <c r="A14" s="87"/>
      <c r="B14" s="303">
        <v>2</v>
      </c>
      <c r="C14" s="619"/>
      <c r="D14" s="620"/>
      <c r="E14" s="221"/>
      <c r="F14" s="412"/>
      <c r="G14" s="411"/>
      <c r="H14" s="94">
        <f>E14*F14</f>
        <v>0</v>
      </c>
    </row>
    <row r="15" spans="1:13" ht="15" customHeight="1" x14ac:dyDescent="0.3">
      <c r="A15" s="87"/>
      <c r="B15" s="303">
        <v>3</v>
      </c>
      <c r="C15" s="619"/>
      <c r="D15" s="620"/>
      <c r="E15" s="221"/>
      <c r="F15" s="412"/>
      <c r="G15" s="411"/>
      <c r="H15" s="94">
        <f>E15*F15</f>
        <v>0</v>
      </c>
    </row>
    <row r="16" spans="1:13" ht="15" customHeight="1" x14ac:dyDescent="0.3">
      <c r="A16" s="87"/>
      <c r="B16" s="303">
        <v>4</v>
      </c>
      <c r="C16" s="619"/>
      <c r="D16" s="620"/>
      <c r="E16" s="221"/>
      <c r="F16" s="412"/>
      <c r="G16" s="411"/>
      <c r="H16" s="94">
        <f>E16*F16</f>
        <v>0</v>
      </c>
    </row>
    <row r="17" spans="1:9" ht="15" customHeight="1" x14ac:dyDescent="0.3">
      <c r="A17" s="87"/>
      <c r="B17" s="303">
        <v>5</v>
      </c>
      <c r="C17" s="619"/>
      <c r="D17" s="620"/>
      <c r="E17" s="221"/>
      <c r="F17" s="412"/>
      <c r="G17" s="411"/>
      <c r="H17" s="94">
        <f>E17*F17</f>
        <v>0</v>
      </c>
    </row>
    <row r="18" spans="1:9" x14ac:dyDescent="0.3">
      <c r="A18" s="87"/>
      <c r="B18" s="87"/>
      <c r="C18" s="87"/>
      <c r="D18" s="87"/>
      <c r="E18" s="253" t="s">
        <v>748</v>
      </c>
      <c r="F18" s="90">
        <f>SUM(F13:F17)</f>
        <v>0</v>
      </c>
      <c r="G18" s="90"/>
      <c r="H18" s="94">
        <f>SUM(H13:H17)</f>
        <v>0</v>
      </c>
    </row>
    <row r="19" spans="1:9" x14ac:dyDescent="0.3">
      <c r="A19" s="87"/>
      <c r="B19" s="87"/>
      <c r="C19" s="87"/>
      <c r="D19" s="87"/>
      <c r="E19" s="87"/>
      <c r="F19" s="87"/>
      <c r="G19" s="87"/>
      <c r="H19" s="87"/>
    </row>
    <row r="20" spans="1:9" ht="19.5" customHeight="1" x14ac:dyDescent="0.3">
      <c r="A20" s="87"/>
      <c r="B20" s="87"/>
      <c r="C20" s="87"/>
      <c r="D20" s="87"/>
      <c r="E20" s="87"/>
      <c r="F20" s="113" t="s">
        <v>994</v>
      </c>
      <c r="G20" s="113"/>
      <c r="H20" s="94" t="str">
        <f>IF(ISERROR(H18/F18),"",H18/F18)</f>
        <v/>
      </c>
      <c r="I20" s="410" t="str">
        <f>IF(F18=0,"","Enter this average component consumption figure in to the relevant component specification of the water consumption calculator")</f>
        <v/>
      </c>
    </row>
    <row r="21" spans="1:9" ht="25" customHeight="1" x14ac:dyDescent="0.3">
      <c r="A21" s="87"/>
      <c r="B21" s="87"/>
      <c r="C21" s="87"/>
      <c r="D21" s="87"/>
      <c r="E21" s="87"/>
      <c r="F21" s="87"/>
      <c r="G21" s="87"/>
      <c r="H21" s="87"/>
    </row>
    <row r="22" spans="1:9" ht="25" customHeight="1" x14ac:dyDescent="0.3">
      <c r="A22" s="87"/>
      <c r="B22" s="422" t="s">
        <v>861</v>
      </c>
      <c r="C22" s="422"/>
      <c r="D22" s="422"/>
      <c r="E22" s="422"/>
      <c r="F22" s="422"/>
      <c r="G22" s="422"/>
      <c r="H22" s="422"/>
    </row>
    <row r="23" spans="1:9" ht="25" customHeight="1" x14ac:dyDescent="0.3">
      <c r="A23" s="87"/>
      <c r="B23" s="87" t="s">
        <v>995</v>
      </c>
      <c r="C23" s="87"/>
      <c r="D23" s="87"/>
      <c r="E23" s="87"/>
      <c r="F23" s="87"/>
      <c r="G23" s="87"/>
      <c r="H23" s="87"/>
    </row>
    <row r="24" spans="1:9" ht="28.5" customHeight="1" x14ac:dyDescent="0.3">
      <c r="A24" s="87"/>
      <c r="B24" s="567" t="s">
        <v>996</v>
      </c>
      <c r="C24" s="569"/>
      <c r="D24" s="444" t="s">
        <v>997</v>
      </c>
      <c r="E24" s="444" t="s">
        <v>998</v>
      </c>
      <c r="F24" s="444" t="s">
        <v>992</v>
      </c>
      <c r="G24" s="444"/>
      <c r="H24" s="444" t="s">
        <v>993</v>
      </c>
    </row>
    <row r="25" spans="1:9" ht="15" customHeight="1" x14ac:dyDescent="0.3">
      <c r="A25" s="87"/>
      <c r="B25" s="303">
        <v>1</v>
      </c>
      <c r="C25" s="298"/>
      <c r="D25" s="221"/>
      <c r="E25" s="412"/>
      <c r="F25" s="412"/>
      <c r="G25" s="411">
        <f>E25*F25</f>
        <v>0</v>
      </c>
      <c r="H25" s="94">
        <f>D25*F25</f>
        <v>0</v>
      </c>
    </row>
    <row r="26" spans="1:9" ht="15" customHeight="1" x14ac:dyDescent="0.3">
      <c r="A26" s="87"/>
      <c r="B26" s="303">
        <v>2</v>
      </c>
      <c r="C26" s="298"/>
      <c r="D26" s="221"/>
      <c r="E26" s="412"/>
      <c r="F26" s="412"/>
      <c r="G26" s="411">
        <f>E26*F26</f>
        <v>0</v>
      </c>
      <c r="H26" s="94">
        <f>D26*F26</f>
        <v>0</v>
      </c>
    </row>
    <row r="27" spans="1:9" ht="15" customHeight="1" x14ac:dyDescent="0.3">
      <c r="A27" s="87"/>
      <c r="B27" s="303">
        <v>3</v>
      </c>
      <c r="C27" s="298"/>
      <c r="D27" s="298"/>
      <c r="E27" s="221"/>
      <c r="F27" s="412"/>
      <c r="G27" s="411">
        <f>E27*F27</f>
        <v>0</v>
      </c>
      <c r="H27" s="94">
        <f>D27*F27</f>
        <v>0</v>
      </c>
    </row>
    <row r="28" spans="1:9" ht="15" customHeight="1" x14ac:dyDescent="0.3">
      <c r="A28" s="87"/>
      <c r="B28" s="303">
        <v>4</v>
      </c>
      <c r="C28" s="298"/>
      <c r="D28" s="298"/>
      <c r="E28" s="221"/>
      <c r="F28" s="412"/>
      <c r="G28" s="411">
        <f>E28*F28</f>
        <v>0</v>
      </c>
      <c r="H28" s="94">
        <f>D28*F28</f>
        <v>0</v>
      </c>
    </row>
    <row r="29" spans="1:9" ht="15" customHeight="1" x14ac:dyDescent="0.3">
      <c r="A29" s="87"/>
      <c r="B29" s="303">
        <v>5</v>
      </c>
      <c r="C29" s="298"/>
      <c r="D29" s="298"/>
      <c r="E29" s="221"/>
      <c r="F29" s="412"/>
      <c r="G29" s="411">
        <f>E29*F29</f>
        <v>0</v>
      </c>
      <c r="H29" s="94">
        <f>D29*F29</f>
        <v>0</v>
      </c>
    </row>
    <row r="30" spans="1:9" x14ac:dyDescent="0.3">
      <c r="A30" s="87"/>
      <c r="B30" s="87"/>
      <c r="C30" s="87"/>
      <c r="D30" s="87"/>
      <c r="E30" s="87"/>
      <c r="F30" s="87"/>
      <c r="G30" s="94">
        <f>SUM(G25:G29)</f>
        <v>0</v>
      </c>
      <c r="H30" s="94">
        <f>SUM(H25:H29)</f>
        <v>0</v>
      </c>
    </row>
    <row r="31" spans="1:9" x14ac:dyDescent="0.3">
      <c r="A31" s="87"/>
      <c r="B31" s="87"/>
      <c r="C31" s="87"/>
      <c r="D31" s="87"/>
      <c r="E31" s="87"/>
      <c r="F31" s="87"/>
      <c r="G31" s="87"/>
      <c r="H31" s="87"/>
    </row>
    <row r="32" spans="1:9" ht="19.5" customHeight="1" x14ac:dyDescent="0.3">
      <c r="A32" s="87"/>
      <c r="B32" s="87"/>
      <c r="C32" s="87"/>
      <c r="D32" s="87"/>
      <c r="E32" s="87"/>
      <c r="F32" s="113" t="s">
        <v>999</v>
      </c>
      <c r="G32" s="113"/>
      <c r="H32" s="94" t="str">
        <f>IF(ISERROR(H30/H33),"",H30/H33)</f>
        <v/>
      </c>
      <c r="I32" s="410" t="str">
        <f>IF(H33=0,"","Enter this average component consumption figure in to the relevant component specification of the water consumption calculator")</f>
        <v/>
      </c>
    </row>
    <row r="33" spans="1:9" ht="19.5" customHeight="1" x14ac:dyDescent="0.3">
      <c r="A33" s="87"/>
      <c r="B33" s="87"/>
      <c r="C33" s="87"/>
      <c r="D33" s="87"/>
      <c r="E33" s="87"/>
      <c r="F33" s="113" t="s">
        <v>723</v>
      </c>
      <c r="G33" s="113"/>
      <c r="H33" s="90">
        <f>SUM(F25:F29)</f>
        <v>0</v>
      </c>
      <c r="I33" s="410" t="str">
        <f>IF(H33=0,"","Enter this figure in to the 'No. of cisterns' cell in of the water consumption calculator")</f>
        <v/>
      </c>
    </row>
    <row r="34" spans="1:9" ht="19.5" customHeight="1" x14ac:dyDescent="0.3">
      <c r="A34" s="87"/>
      <c r="B34" s="87"/>
      <c r="C34" s="87"/>
      <c r="D34" s="87"/>
      <c r="E34" s="87"/>
      <c r="F34" s="113" t="s">
        <v>1000</v>
      </c>
      <c r="G34" s="113"/>
      <c r="H34" s="94" t="str">
        <f>IF(ISERROR(G30/H33),"",G30/H33)</f>
        <v/>
      </c>
      <c r="I34" s="410" t="str">
        <f>IF(H33=0,"","Enter this figure in to the 'flushing frequency/hour' cell in of the water consumption calculator")</f>
        <v/>
      </c>
    </row>
    <row r="35" spans="1:9" ht="19.5" customHeight="1" x14ac:dyDescent="0.3">
      <c r="A35" s="87"/>
      <c r="B35" s="87"/>
      <c r="C35" s="87"/>
      <c r="D35" s="87"/>
      <c r="E35" s="87"/>
      <c r="F35" s="113"/>
      <c r="G35" s="113"/>
      <c r="H35" s="113"/>
      <c r="I35" s="410"/>
    </row>
    <row r="36" spans="1:9" ht="25" customHeight="1" x14ac:dyDescent="0.3">
      <c r="A36" s="87"/>
      <c r="B36" s="87" t="s">
        <v>1001</v>
      </c>
      <c r="C36" s="87"/>
      <c r="D36" s="87"/>
      <c r="E36" s="87"/>
      <c r="F36" s="87"/>
      <c r="G36" s="87"/>
      <c r="H36" s="87"/>
    </row>
    <row r="37" spans="1:9" ht="28.5" customHeight="1" x14ac:dyDescent="0.3">
      <c r="A37" s="87"/>
      <c r="B37" s="567" t="s">
        <v>996</v>
      </c>
      <c r="C37" s="568"/>
      <c r="D37" s="569"/>
      <c r="E37" s="444" t="s">
        <v>1002</v>
      </c>
      <c r="F37" s="444" t="s">
        <v>992</v>
      </c>
      <c r="G37" s="444"/>
      <c r="H37" s="444" t="s">
        <v>993</v>
      </c>
    </row>
    <row r="38" spans="1:9" ht="15" customHeight="1" x14ac:dyDescent="0.3">
      <c r="A38" s="87"/>
      <c r="B38" s="303">
        <v>1</v>
      </c>
      <c r="C38" s="619"/>
      <c r="D38" s="620"/>
      <c r="E38" s="221"/>
      <c r="F38" s="412"/>
      <c r="G38" s="411"/>
      <c r="H38" s="94">
        <f>E38*F38</f>
        <v>0</v>
      </c>
    </row>
    <row r="39" spans="1:9" ht="15" customHeight="1" x14ac:dyDescent="0.3">
      <c r="A39" s="87"/>
      <c r="B39" s="303">
        <v>2</v>
      </c>
      <c r="C39" s="619"/>
      <c r="D39" s="620"/>
      <c r="E39" s="221"/>
      <c r="F39" s="412"/>
      <c r="G39" s="411"/>
      <c r="H39" s="94">
        <f>E39*F39</f>
        <v>0</v>
      </c>
    </row>
    <row r="40" spans="1:9" ht="15" customHeight="1" x14ac:dyDescent="0.3">
      <c r="A40" s="87"/>
      <c r="B40" s="303">
        <v>3</v>
      </c>
      <c r="C40" s="619"/>
      <c r="D40" s="620"/>
      <c r="E40" s="221"/>
      <c r="F40" s="412"/>
      <c r="G40" s="411"/>
      <c r="H40" s="94">
        <f>E40*F40</f>
        <v>0</v>
      </c>
    </row>
    <row r="41" spans="1:9" ht="15" customHeight="1" x14ac:dyDescent="0.3">
      <c r="A41" s="87"/>
      <c r="B41" s="303">
        <v>4</v>
      </c>
      <c r="C41" s="619"/>
      <c r="D41" s="620"/>
      <c r="E41" s="221"/>
      <c r="F41" s="412"/>
      <c r="G41" s="411"/>
      <c r="H41" s="94">
        <f>E41*F41</f>
        <v>0</v>
      </c>
    </row>
    <row r="42" spans="1:9" ht="15" customHeight="1" x14ac:dyDescent="0.3">
      <c r="A42" s="87"/>
      <c r="B42" s="303">
        <v>5</v>
      </c>
      <c r="C42" s="619"/>
      <c r="D42" s="620"/>
      <c r="E42" s="221"/>
      <c r="F42" s="412"/>
      <c r="G42" s="411"/>
      <c r="H42" s="94">
        <f>E42*F42</f>
        <v>0</v>
      </c>
    </row>
    <row r="43" spans="1:9" x14ac:dyDescent="0.3">
      <c r="A43" s="87"/>
      <c r="B43" s="87"/>
      <c r="C43" s="87"/>
      <c r="D43" s="87"/>
      <c r="E43" s="253" t="s">
        <v>748</v>
      </c>
      <c r="F43" s="90">
        <f>SUM(F38:F42)</f>
        <v>0</v>
      </c>
      <c r="G43" s="90"/>
      <c r="H43" s="94">
        <f>SUM(H38:H42)</f>
        <v>0</v>
      </c>
    </row>
    <row r="44" spans="1:9" x14ac:dyDescent="0.3">
      <c r="A44" s="87"/>
      <c r="B44" s="87"/>
      <c r="C44" s="87"/>
      <c r="D44" s="87"/>
      <c r="E44" s="87"/>
      <c r="F44" s="87"/>
      <c r="G44" s="87"/>
      <c r="H44" s="87"/>
    </row>
    <row r="45" spans="1:9" ht="19.5" customHeight="1" x14ac:dyDescent="0.3">
      <c r="A45" s="87"/>
      <c r="B45" s="87"/>
      <c r="C45" s="87"/>
      <c r="D45" s="87"/>
      <c r="E45" s="87"/>
      <c r="F45" s="113" t="s">
        <v>1003</v>
      </c>
      <c r="G45" s="113"/>
      <c r="H45" s="94" t="str">
        <f>IF(ISERROR(H43/F43),"",H43/F43)</f>
        <v/>
      </c>
      <c r="I45" s="410" t="str">
        <f>IF(F43=0,"","Enter this average component consumption figure in to the relevant component specification of the water consumption calculator")</f>
        <v/>
      </c>
    </row>
    <row r="46" spans="1:9" ht="19.5" customHeight="1" x14ac:dyDescent="0.3">
      <c r="A46" s="87"/>
      <c r="B46" s="87"/>
      <c r="C46" s="87"/>
      <c r="D46" s="87"/>
      <c r="E46" s="87"/>
      <c r="F46" s="113"/>
      <c r="G46" s="113"/>
      <c r="H46" s="113"/>
      <c r="I46" s="410"/>
    </row>
    <row r="47" spans="1:9" ht="25" customHeight="1" x14ac:dyDescent="0.3">
      <c r="A47" s="87"/>
      <c r="B47" s="422" t="s">
        <v>1004</v>
      </c>
      <c r="C47" s="422"/>
      <c r="D47" s="422"/>
      <c r="E47" s="422"/>
      <c r="F47" s="422"/>
      <c r="G47" s="422"/>
      <c r="H47" s="422"/>
    </row>
    <row r="48" spans="1:9" ht="25" customHeight="1" x14ac:dyDescent="0.3">
      <c r="A48" s="87"/>
      <c r="B48" s="87"/>
      <c r="C48" s="87"/>
      <c r="D48" s="87"/>
      <c r="E48" s="87"/>
      <c r="F48" s="87"/>
      <c r="G48" s="87"/>
      <c r="H48" s="87"/>
    </row>
    <row r="49" spans="1:19" ht="28.5" customHeight="1" x14ac:dyDescent="0.3">
      <c r="A49" s="87"/>
      <c r="B49" s="567" t="s">
        <v>1005</v>
      </c>
      <c r="C49" s="568"/>
      <c r="D49" s="569"/>
      <c r="E49" s="444" t="s">
        <v>1006</v>
      </c>
      <c r="F49" s="444" t="s">
        <v>992</v>
      </c>
      <c r="G49" s="444"/>
      <c r="H49" s="444" t="s">
        <v>993</v>
      </c>
      <c r="I49" s="300"/>
      <c r="J49" s="413"/>
      <c r="K49" s="413"/>
      <c r="L49" s="413"/>
      <c r="M49" s="413"/>
      <c r="N49" s="413"/>
      <c r="O49" s="413"/>
      <c r="P49" s="413"/>
      <c r="Q49" s="413"/>
      <c r="R49" s="413"/>
      <c r="S49" s="413"/>
    </row>
    <row r="50" spans="1:19" ht="15" customHeight="1" x14ac:dyDescent="0.3">
      <c r="A50" s="87"/>
      <c r="B50" s="303">
        <v>1</v>
      </c>
      <c r="C50" s="619"/>
      <c r="D50" s="620"/>
      <c r="E50" s="221"/>
      <c r="F50" s="412"/>
      <c r="G50" s="411"/>
      <c r="H50" s="94">
        <f>E50*F50</f>
        <v>0</v>
      </c>
      <c r="I50" s="300"/>
      <c r="J50" s="413"/>
      <c r="K50" s="413"/>
      <c r="L50" s="413"/>
      <c r="M50" s="413"/>
      <c r="N50" s="413"/>
      <c r="O50" s="413"/>
      <c r="P50" s="413"/>
      <c r="Q50" s="413"/>
      <c r="R50" s="413"/>
      <c r="S50" s="413"/>
    </row>
    <row r="51" spans="1:19" ht="15" customHeight="1" x14ac:dyDescent="0.3">
      <c r="A51" s="87"/>
      <c r="B51" s="303">
        <v>2</v>
      </c>
      <c r="C51" s="619"/>
      <c r="D51" s="620"/>
      <c r="E51" s="221"/>
      <c r="F51" s="412"/>
      <c r="G51" s="411"/>
      <c r="H51" s="94">
        <f>E51*F51</f>
        <v>0</v>
      </c>
      <c r="I51" s="300"/>
      <c r="J51" s="413"/>
      <c r="K51" s="413"/>
      <c r="L51" s="413"/>
      <c r="M51" s="413"/>
      <c r="N51" s="413"/>
      <c r="O51" s="413"/>
      <c r="P51" s="413"/>
      <c r="Q51" s="413"/>
      <c r="R51" s="413"/>
      <c r="S51" s="413"/>
    </row>
    <row r="52" spans="1:19" ht="15" customHeight="1" x14ac:dyDescent="0.3">
      <c r="A52" s="87"/>
      <c r="B52" s="303">
        <v>3</v>
      </c>
      <c r="C52" s="619"/>
      <c r="D52" s="620"/>
      <c r="E52" s="221"/>
      <c r="F52" s="412"/>
      <c r="G52" s="411"/>
      <c r="H52" s="94">
        <f>E52*F52</f>
        <v>0</v>
      </c>
      <c r="I52" s="300"/>
      <c r="J52" s="413"/>
      <c r="K52" s="413"/>
      <c r="L52" s="413"/>
      <c r="M52" s="413"/>
      <c r="N52" s="413"/>
      <c r="O52" s="413"/>
      <c r="P52" s="413"/>
      <c r="Q52" s="413"/>
      <c r="R52" s="413"/>
      <c r="S52" s="413"/>
    </row>
    <row r="53" spans="1:19" ht="15" customHeight="1" x14ac:dyDescent="0.3">
      <c r="A53" s="87"/>
      <c r="B53" s="303">
        <v>4</v>
      </c>
      <c r="C53" s="619"/>
      <c r="D53" s="620"/>
      <c r="E53" s="221"/>
      <c r="F53" s="412"/>
      <c r="G53" s="411"/>
      <c r="H53" s="94">
        <f>E53*F53</f>
        <v>0</v>
      </c>
    </row>
    <row r="54" spans="1:19" ht="15" customHeight="1" x14ac:dyDescent="0.3">
      <c r="A54" s="87"/>
      <c r="B54" s="303">
        <v>5</v>
      </c>
      <c r="C54" s="619"/>
      <c r="D54" s="620"/>
      <c r="E54" s="221"/>
      <c r="F54" s="412"/>
      <c r="G54" s="411"/>
      <c r="H54" s="94">
        <f>E54*F54</f>
        <v>0</v>
      </c>
    </row>
    <row r="55" spans="1:19" x14ac:dyDescent="0.3">
      <c r="A55" s="87"/>
      <c r="B55" s="87"/>
      <c r="C55" s="87"/>
      <c r="D55" s="87"/>
      <c r="E55" s="253" t="s">
        <v>748</v>
      </c>
      <c r="F55" s="90">
        <f>SUM(F50:F54)</f>
        <v>0</v>
      </c>
      <c r="G55" s="90"/>
      <c r="H55" s="94">
        <f>SUM(H50:H54)</f>
        <v>0</v>
      </c>
    </row>
    <row r="56" spans="1:19" x14ac:dyDescent="0.3">
      <c r="A56" s="87"/>
      <c r="B56" s="87"/>
      <c r="C56" s="87"/>
      <c r="D56" s="87"/>
      <c r="E56" s="87"/>
      <c r="F56" s="87"/>
      <c r="G56" s="87"/>
      <c r="H56" s="87"/>
    </row>
    <row r="57" spans="1:19" ht="19.5" customHeight="1" x14ac:dyDescent="0.3">
      <c r="A57" s="87"/>
      <c r="B57" s="87"/>
      <c r="C57" s="87"/>
      <c r="D57" s="87"/>
      <c r="E57" s="87"/>
      <c r="F57" s="113" t="s">
        <v>1007</v>
      </c>
      <c r="G57" s="113"/>
      <c r="H57" s="94" t="str">
        <f>IF(ISERROR(H55/F55),"",H55/F55)</f>
        <v/>
      </c>
      <c r="I57" s="410" t="str">
        <f>IF(F55=0,"",IF(H57&gt;H59,"Enter this average component consumption figure in to the relevant component specification of the water consumption calculator",""))</f>
        <v/>
      </c>
    </row>
    <row r="58" spans="1:19" x14ac:dyDescent="0.3">
      <c r="A58" s="87"/>
      <c r="B58" s="87"/>
      <c r="C58" s="87"/>
      <c r="D58" s="87"/>
      <c r="E58" s="87"/>
      <c r="F58" s="87"/>
      <c r="G58" s="87"/>
      <c r="H58" s="87"/>
    </row>
    <row r="59" spans="1:19" ht="19.5" customHeight="1" x14ac:dyDescent="0.3">
      <c r="A59" s="87"/>
      <c r="B59" s="87"/>
      <c r="C59" s="87"/>
      <c r="D59" s="87"/>
      <c r="E59" s="87"/>
      <c r="F59" s="253" t="s">
        <v>1008</v>
      </c>
      <c r="G59" s="253"/>
      <c r="H59" s="94">
        <f>MAX(E50:E54)*0.7</f>
        <v>0</v>
      </c>
      <c r="I59" s="410" t="str">
        <f>IF(F55=0,"",IF(H59&gt;H57,"Enter this average component consumption figure in to the relevant component specification of the water consumption calculator",""))</f>
        <v/>
      </c>
    </row>
    <row r="60" spans="1:19" ht="25" customHeight="1" x14ac:dyDescent="0.3">
      <c r="A60" s="87"/>
      <c r="B60" s="87"/>
      <c r="C60" s="87"/>
      <c r="D60" s="87"/>
      <c r="E60" s="87"/>
      <c r="F60" s="87"/>
      <c r="G60" s="87"/>
      <c r="H60" s="87"/>
    </row>
    <row r="61" spans="1:19" ht="25" customHeight="1" x14ac:dyDescent="0.3">
      <c r="A61" s="87"/>
      <c r="B61" s="422" t="s">
        <v>1009</v>
      </c>
      <c r="C61" s="422"/>
      <c r="D61" s="422"/>
      <c r="E61" s="422"/>
      <c r="F61" s="422"/>
      <c r="G61" s="422"/>
      <c r="H61" s="422"/>
    </row>
    <row r="62" spans="1:19" ht="25" customHeight="1" x14ac:dyDescent="0.3">
      <c r="A62" s="87"/>
      <c r="B62" s="87"/>
      <c r="C62" s="87"/>
      <c r="D62" s="87"/>
      <c r="E62" s="87"/>
      <c r="F62" s="87"/>
      <c r="G62" s="87"/>
      <c r="H62" s="87"/>
    </row>
    <row r="63" spans="1:19" ht="28.5" customHeight="1" x14ac:dyDescent="0.3">
      <c r="A63" s="87"/>
      <c r="B63" s="567" t="s">
        <v>1005</v>
      </c>
      <c r="C63" s="568"/>
      <c r="D63" s="569"/>
      <c r="E63" s="444" t="s">
        <v>1006</v>
      </c>
      <c r="F63" s="444" t="s">
        <v>992</v>
      </c>
      <c r="G63" s="444"/>
      <c r="H63" s="444" t="s">
        <v>993</v>
      </c>
      <c r="I63" s="300"/>
      <c r="J63" s="413"/>
      <c r="K63" s="413"/>
      <c r="L63" s="413"/>
      <c r="M63" s="413"/>
      <c r="N63" s="413"/>
      <c r="O63" s="413"/>
      <c r="P63" s="413"/>
      <c r="Q63" s="413"/>
      <c r="R63" s="413"/>
      <c r="S63" s="413"/>
    </row>
    <row r="64" spans="1:19" ht="15" customHeight="1" x14ac:dyDescent="0.3">
      <c r="A64" s="87"/>
      <c r="B64" s="303">
        <v>1</v>
      </c>
      <c r="C64" s="619"/>
      <c r="D64" s="620"/>
      <c r="E64" s="221"/>
      <c r="F64" s="412"/>
      <c r="G64" s="411"/>
      <c r="H64" s="94">
        <f>E64*F64</f>
        <v>0</v>
      </c>
      <c r="I64" s="300"/>
      <c r="J64" s="413"/>
      <c r="K64" s="413"/>
      <c r="L64" s="413"/>
      <c r="M64" s="413"/>
      <c r="N64" s="413"/>
      <c r="O64" s="413"/>
      <c r="P64" s="413"/>
      <c r="Q64" s="413"/>
      <c r="R64" s="413"/>
      <c r="S64" s="413"/>
    </row>
    <row r="65" spans="1:19" ht="15" customHeight="1" x14ac:dyDescent="0.3">
      <c r="A65" s="87"/>
      <c r="B65" s="303">
        <v>2</v>
      </c>
      <c r="C65" s="619"/>
      <c r="D65" s="620"/>
      <c r="E65" s="221"/>
      <c r="F65" s="412"/>
      <c r="G65" s="411"/>
      <c r="H65" s="94">
        <f>E65*F65</f>
        <v>0</v>
      </c>
      <c r="I65" s="300"/>
      <c r="J65" s="413"/>
      <c r="K65" s="413"/>
      <c r="L65" s="413"/>
      <c r="M65" s="413"/>
      <c r="N65" s="413"/>
      <c r="O65" s="413"/>
      <c r="P65" s="413"/>
      <c r="Q65" s="413"/>
      <c r="R65" s="413"/>
      <c r="S65" s="413"/>
    </row>
    <row r="66" spans="1:19" ht="15" customHeight="1" x14ac:dyDescent="0.3">
      <c r="A66" s="87"/>
      <c r="B66" s="303">
        <v>3</v>
      </c>
      <c r="C66" s="619"/>
      <c r="D66" s="620"/>
      <c r="E66" s="221"/>
      <c r="F66" s="412"/>
      <c r="G66" s="411"/>
      <c r="H66" s="94">
        <f>E66*F66</f>
        <v>0</v>
      </c>
      <c r="I66" s="300"/>
      <c r="J66" s="413"/>
      <c r="K66" s="413"/>
      <c r="L66" s="413"/>
      <c r="M66" s="413"/>
      <c r="N66" s="413"/>
      <c r="O66" s="413"/>
      <c r="P66" s="413"/>
      <c r="Q66" s="413"/>
      <c r="R66" s="413"/>
      <c r="S66" s="413"/>
    </row>
    <row r="67" spans="1:19" ht="15" customHeight="1" x14ac:dyDescent="0.3">
      <c r="A67" s="87"/>
      <c r="B67" s="303">
        <v>4</v>
      </c>
      <c r="C67" s="619"/>
      <c r="D67" s="620"/>
      <c r="E67" s="221"/>
      <c r="F67" s="412"/>
      <c r="G67" s="411"/>
      <c r="H67" s="94">
        <f>E67*F67</f>
        <v>0</v>
      </c>
    </row>
    <row r="68" spans="1:19" ht="15" customHeight="1" x14ac:dyDescent="0.3">
      <c r="A68" s="87"/>
      <c r="B68" s="303">
        <v>5</v>
      </c>
      <c r="C68" s="619"/>
      <c r="D68" s="620"/>
      <c r="E68" s="221"/>
      <c r="F68" s="412"/>
      <c r="G68" s="411"/>
      <c r="H68" s="94">
        <f>E68*F68</f>
        <v>0</v>
      </c>
    </row>
    <row r="69" spans="1:19" x14ac:dyDescent="0.3">
      <c r="A69" s="87"/>
      <c r="B69" s="87"/>
      <c r="C69" s="87"/>
      <c r="D69" s="87"/>
      <c r="E69" s="253" t="s">
        <v>748</v>
      </c>
      <c r="F69" s="90">
        <f>SUM(F64:F68)</f>
        <v>0</v>
      </c>
      <c r="G69" s="90"/>
      <c r="H69" s="94">
        <f>SUM(H64:H68)</f>
        <v>0</v>
      </c>
    </row>
    <row r="70" spans="1:19" x14ac:dyDescent="0.3">
      <c r="A70" s="87"/>
      <c r="B70" s="87"/>
      <c r="C70" s="87"/>
      <c r="D70" s="87"/>
      <c r="E70" s="87"/>
      <c r="F70" s="87"/>
      <c r="G70" s="87"/>
      <c r="H70" s="87"/>
    </row>
    <row r="71" spans="1:19" ht="19.5" customHeight="1" x14ac:dyDescent="0.3">
      <c r="A71" s="87"/>
      <c r="B71" s="87"/>
      <c r="C71" s="87"/>
      <c r="D71" s="87"/>
      <c r="E71" s="87"/>
      <c r="F71" s="113" t="s">
        <v>1007</v>
      </c>
      <c r="G71" s="113"/>
      <c r="H71" s="94" t="str">
        <f>IF(ISERROR(H69/F69),"",H69/F69)</f>
        <v/>
      </c>
      <c r="I71" s="410" t="str">
        <f>IF(F69=0,"",IF(H71&gt;H73,"Enter this average component consumption figure in to the relevant component specification of the water consumption calculator",""))</f>
        <v/>
      </c>
    </row>
    <row r="72" spans="1:19" x14ac:dyDescent="0.3">
      <c r="A72" s="87"/>
      <c r="B72" s="87"/>
      <c r="C72" s="87"/>
      <c r="D72" s="87"/>
      <c r="E72" s="87"/>
      <c r="F72" s="87"/>
      <c r="G72" s="87"/>
      <c r="H72" s="87"/>
    </row>
    <row r="73" spans="1:19" ht="19.5" customHeight="1" x14ac:dyDescent="0.3">
      <c r="A73" s="87"/>
      <c r="B73" s="87"/>
      <c r="C73" s="87"/>
      <c r="D73" s="87"/>
      <c r="E73" s="87"/>
      <c r="F73" s="253" t="s">
        <v>1008</v>
      </c>
      <c r="G73" s="253"/>
      <c r="H73" s="94">
        <f>MAX(E64:E68)*0.7</f>
        <v>0</v>
      </c>
      <c r="I73" s="410" t="str">
        <f>IF(F69=0,"",IF(H73&gt;H71,"Enter this average component consumption figure in to the relevant component specification of the water consumption calculator",""))</f>
        <v/>
      </c>
    </row>
    <row r="74" spans="1:19" ht="25" customHeight="1" x14ac:dyDescent="0.3">
      <c r="A74" s="87"/>
      <c r="B74" s="87"/>
      <c r="C74" s="87"/>
      <c r="D74" s="87"/>
      <c r="E74" s="87"/>
      <c r="F74" s="87"/>
      <c r="G74" s="87"/>
      <c r="H74" s="87"/>
    </row>
    <row r="75" spans="1:19" ht="25" customHeight="1" x14ac:dyDescent="0.3">
      <c r="A75" s="87"/>
      <c r="B75" s="422" t="s">
        <v>537</v>
      </c>
      <c r="C75" s="422"/>
      <c r="D75" s="422"/>
      <c r="E75" s="422"/>
      <c r="F75" s="422"/>
      <c r="G75" s="422"/>
      <c r="H75" s="422"/>
    </row>
    <row r="76" spans="1:19" ht="25" customHeight="1" x14ac:dyDescent="0.3">
      <c r="A76" s="87"/>
      <c r="B76" s="87"/>
      <c r="C76" s="87"/>
      <c r="D76" s="87"/>
      <c r="E76" s="87"/>
      <c r="F76" s="87"/>
      <c r="G76" s="87"/>
      <c r="H76" s="87"/>
    </row>
    <row r="77" spans="1:19" ht="28.5" customHeight="1" x14ac:dyDescent="0.3">
      <c r="A77" s="87"/>
      <c r="B77" s="567" t="s">
        <v>1010</v>
      </c>
      <c r="C77" s="568"/>
      <c r="D77" s="569"/>
      <c r="E77" s="444" t="s">
        <v>1006</v>
      </c>
      <c r="F77" s="444" t="s">
        <v>992</v>
      </c>
      <c r="G77" s="444"/>
      <c r="H77" s="444" t="s">
        <v>993</v>
      </c>
      <c r="I77" s="300"/>
      <c r="J77" s="413"/>
      <c r="K77" s="413"/>
      <c r="L77" s="413"/>
      <c r="M77" s="413"/>
      <c r="N77" s="413"/>
      <c r="O77" s="413"/>
      <c r="P77" s="413"/>
      <c r="Q77" s="413"/>
      <c r="R77" s="413"/>
      <c r="S77" s="413"/>
    </row>
    <row r="78" spans="1:19" ht="15" customHeight="1" x14ac:dyDescent="0.3">
      <c r="A78" s="87"/>
      <c r="B78" s="303">
        <v>1</v>
      </c>
      <c r="C78" s="619"/>
      <c r="D78" s="620"/>
      <c r="E78" s="221"/>
      <c r="F78" s="412"/>
      <c r="G78" s="411"/>
      <c r="H78" s="94">
        <f>E78*F78</f>
        <v>0</v>
      </c>
      <c r="I78" s="300"/>
      <c r="J78" s="413"/>
      <c r="K78" s="413"/>
      <c r="L78" s="413"/>
      <c r="M78" s="413"/>
      <c r="N78" s="413"/>
      <c r="O78" s="413"/>
      <c r="P78" s="413"/>
      <c r="Q78" s="413"/>
      <c r="R78" s="413"/>
      <c r="S78" s="413"/>
    </row>
    <row r="79" spans="1:19" ht="15" customHeight="1" x14ac:dyDescent="0.3">
      <c r="A79" s="87"/>
      <c r="B79" s="303">
        <v>2</v>
      </c>
      <c r="C79" s="619"/>
      <c r="D79" s="620"/>
      <c r="E79" s="221"/>
      <c r="F79" s="412"/>
      <c r="G79" s="411"/>
      <c r="H79" s="94">
        <f>E79*F79</f>
        <v>0</v>
      </c>
      <c r="I79" s="300"/>
      <c r="J79" s="413"/>
      <c r="K79" s="413"/>
      <c r="L79" s="413"/>
      <c r="M79" s="413"/>
      <c r="N79" s="413"/>
      <c r="O79" s="413"/>
      <c r="P79" s="413"/>
      <c r="Q79" s="413"/>
      <c r="R79" s="413"/>
      <c r="S79" s="413"/>
    </row>
    <row r="80" spans="1:19" ht="15" customHeight="1" x14ac:dyDescent="0.3">
      <c r="A80" s="87"/>
      <c r="B80" s="303">
        <v>3</v>
      </c>
      <c r="C80" s="619"/>
      <c r="D80" s="620"/>
      <c r="E80" s="221"/>
      <c r="F80" s="412"/>
      <c r="G80" s="411"/>
      <c r="H80" s="94">
        <f>E80*F80</f>
        <v>0</v>
      </c>
      <c r="I80" s="300"/>
      <c r="J80" s="413"/>
      <c r="K80" s="413"/>
      <c r="L80" s="413"/>
      <c r="M80" s="413"/>
      <c r="N80" s="413"/>
      <c r="O80" s="413"/>
      <c r="P80" s="413"/>
      <c r="Q80" s="413"/>
      <c r="R80" s="413"/>
      <c r="S80" s="413"/>
    </row>
    <row r="81" spans="1:19" ht="15" customHeight="1" x14ac:dyDescent="0.3">
      <c r="A81" s="87"/>
      <c r="B81" s="303">
        <v>4</v>
      </c>
      <c r="C81" s="619"/>
      <c r="D81" s="620"/>
      <c r="E81" s="221"/>
      <c r="F81" s="412"/>
      <c r="G81" s="411"/>
      <c r="H81" s="94">
        <f>E81*F81</f>
        <v>0</v>
      </c>
    </row>
    <row r="82" spans="1:19" ht="15" customHeight="1" x14ac:dyDescent="0.3">
      <c r="A82" s="87"/>
      <c r="B82" s="303">
        <v>5</v>
      </c>
      <c r="C82" s="619"/>
      <c r="D82" s="620"/>
      <c r="E82" s="221"/>
      <c r="F82" s="412"/>
      <c r="G82" s="411"/>
      <c r="H82" s="94">
        <f>E82*F82</f>
        <v>0</v>
      </c>
    </row>
    <row r="83" spans="1:19" x14ac:dyDescent="0.3">
      <c r="A83" s="87"/>
      <c r="B83" s="87"/>
      <c r="C83" s="87"/>
      <c r="D83" s="87"/>
      <c r="E83" s="253" t="s">
        <v>748</v>
      </c>
      <c r="F83" s="90">
        <f>SUM(F78:F82)</f>
        <v>0</v>
      </c>
      <c r="G83" s="90"/>
      <c r="H83" s="94">
        <f>SUM(H78:H82)</f>
        <v>0</v>
      </c>
    </row>
    <row r="84" spans="1:19" x14ac:dyDescent="0.3">
      <c r="A84" s="87"/>
      <c r="B84" s="87"/>
      <c r="C84" s="87"/>
      <c r="D84" s="87"/>
      <c r="E84" s="87"/>
      <c r="F84" s="87"/>
      <c r="G84" s="87"/>
      <c r="H84" s="87"/>
    </row>
    <row r="85" spans="1:19" ht="19.5" customHeight="1" x14ac:dyDescent="0.3">
      <c r="A85" s="87"/>
      <c r="B85" s="87"/>
      <c r="C85" s="87"/>
      <c r="D85" s="87"/>
      <c r="E85" s="87"/>
      <c r="F85" s="113" t="s">
        <v>1007</v>
      </c>
      <c r="G85" s="113"/>
      <c r="H85" s="94" t="str">
        <f>IF(ISERROR(H83/F83),"",H83/F83)</f>
        <v/>
      </c>
      <c r="I85" s="410" t="str">
        <f>IF(F83=0,"",IF(H85&gt;H87,"Enter this average component consumption figure in to the relevant component specification of the water consumption calculator",""))</f>
        <v/>
      </c>
    </row>
    <row r="86" spans="1:19" x14ac:dyDescent="0.3">
      <c r="A86" s="87"/>
      <c r="B86" s="87"/>
      <c r="C86" s="87"/>
      <c r="D86" s="87"/>
      <c r="E86" s="87"/>
      <c r="F86" s="87"/>
      <c r="G86" s="87"/>
      <c r="H86" s="87"/>
    </row>
    <row r="87" spans="1:19" ht="19.5" customHeight="1" x14ac:dyDescent="0.3">
      <c r="A87" s="87"/>
      <c r="B87" s="87"/>
      <c r="C87" s="87"/>
      <c r="D87" s="87"/>
      <c r="E87" s="87"/>
      <c r="F87" s="253" t="s">
        <v>1008</v>
      </c>
      <c r="G87" s="253"/>
      <c r="H87" s="94">
        <f>MAX(E78:E82)*0.7</f>
        <v>0</v>
      </c>
      <c r="I87" s="410" t="str">
        <f>IF(F83=0,"",IF(H87&gt;H85,"Enter this average component consumption figure in to the relevant component specification of the water consumption calculator",""))</f>
        <v/>
      </c>
    </row>
    <row r="88" spans="1:19" x14ac:dyDescent="0.3">
      <c r="A88" s="87"/>
      <c r="B88" s="87"/>
      <c r="C88" s="87"/>
      <c r="D88" s="87"/>
      <c r="E88" s="87"/>
      <c r="F88" s="87"/>
      <c r="G88" s="87"/>
      <c r="H88" s="87"/>
    </row>
    <row r="89" spans="1:19" ht="25" customHeight="1" x14ac:dyDescent="0.3">
      <c r="A89" s="87"/>
      <c r="B89" s="422" t="s">
        <v>497</v>
      </c>
      <c r="C89" s="422"/>
      <c r="D89" s="422"/>
      <c r="E89" s="422"/>
      <c r="F89" s="422"/>
      <c r="G89" s="422"/>
      <c r="H89" s="422"/>
    </row>
    <row r="90" spans="1:19" ht="25" customHeight="1" x14ac:dyDescent="0.3">
      <c r="A90" s="87"/>
      <c r="B90" s="87"/>
      <c r="C90" s="87"/>
      <c r="D90" s="87"/>
      <c r="E90" s="87"/>
      <c r="F90" s="87"/>
      <c r="G90" s="87"/>
      <c r="H90" s="87"/>
    </row>
    <row r="91" spans="1:19" ht="28.5" customHeight="1" x14ac:dyDescent="0.3">
      <c r="A91" s="87"/>
      <c r="B91" s="567" t="s">
        <v>1011</v>
      </c>
      <c r="C91" s="568"/>
      <c r="D91" s="569"/>
      <c r="E91" s="444" t="s">
        <v>1012</v>
      </c>
      <c r="F91" s="444" t="s">
        <v>992</v>
      </c>
      <c r="G91" s="444"/>
      <c r="H91" s="444" t="s">
        <v>993</v>
      </c>
      <c r="I91" s="300"/>
      <c r="J91" s="413"/>
      <c r="K91" s="413"/>
      <c r="L91" s="413"/>
      <c r="M91" s="413"/>
      <c r="N91" s="413"/>
      <c r="O91" s="413"/>
      <c r="P91" s="413"/>
      <c r="Q91" s="413"/>
      <c r="R91" s="413"/>
      <c r="S91" s="413"/>
    </row>
    <row r="92" spans="1:19" ht="15" customHeight="1" x14ac:dyDescent="0.3">
      <c r="A92" s="87"/>
      <c r="B92" s="303">
        <v>1</v>
      </c>
      <c r="C92" s="619"/>
      <c r="D92" s="620"/>
      <c r="E92" s="221"/>
      <c r="F92" s="412"/>
      <c r="G92" s="411"/>
      <c r="H92" s="94">
        <f>E92*F92</f>
        <v>0</v>
      </c>
      <c r="I92" s="300"/>
      <c r="J92" s="413"/>
      <c r="K92" s="413"/>
      <c r="L92" s="413"/>
      <c r="M92" s="413"/>
      <c r="N92" s="413"/>
      <c r="O92" s="413"/>
      <c r="P92" s="413"/>
      <c r="Q92" s="413"/>
      <c r="R92" s="413"/>
      <c r="S92" s="413"/>
    </row>
    <row r="93" spans="1:19" ht="15" customHeight="1" x14ac:dyDescent="0.3">
      <c r="A93" s="87"/>
      <c r="B93" s="303">
        <v>2</v>
      </c>
      <c r="C93" s="619"/>
      <c r="D93" s="620"/>
      <c r="E93" s="221"/>
      <c r="F93" s="412"/>
      <c r="G93" s="411"/>
      <c r="H93" s="94">
        <f>E93*F93</f>
        <v>0</v>
      </c>
      <c r="I93" s="300"/>
      <c r="J93" s="413"/>
      <c r="K93" s="413"/>
      <c r="L93" s="413"/>
      <c r="M93" s="413"/>
      <c r="N93" s="413"/>
      <c r="O93" s="413"/>
      <c r="P93" s="413"/>
      <c r="Q93" s="413"/>
      <c r="R93" s="413"/>
      <c r="S93" s="413"/>
    </row>
    <row r="94" spans="1:19" ht="15" customHeight="1" x14ac:dyDescent="0.3">
      <c r="A94" s="87"/>
      <c r="B94" s="303">
        <v>3</v>
      </c>
      <c r="C94" s="619"/>
      <c r="D94" s="620"/>
      <c r="E94" s="221"/>
      <c r="F94" s="412"/>
      <c r="G94" s="411"/>
      <c r="H94" s="94">
        <f>E94*F94</f>
        <v>0</v>
      </c>
      <c r="I94" s="300"/>
      <c r="J94" s="413"/>
      <c r="K94" s="413"/>
      <c r="L94" s="413"/>
      <c r="M94" s="413"/>
      <c r="N94" s="413"/>
      <c r="O94" s="413"/>
      <c r="P94" s="413"/>
      <c r="Q94" s="413"/>
      <c r="R94" s="413"/>
      <c r="S94" s="413"/>
    </row>
    <row r="95" spans="1:19" ht="15" customHeight="1" x14ac:dyDescent="0.3">
      <c r="A95" s="87"/>
      <c r="B95" s="303">
        <v>4</v>
      </c>
      <c r="C95" s="619"/>
      <c r="D95" s="620"/>
      <c r="E95" s="221"/>
      <c r="F95" s="412"/>
      <c r="G95" s="411"/>
      <c r="H95" s="94">
        <f>E95*F95</f>
        <v>0</v>
      </c>
    </row>
    <row r="96" spans="1:19" ht="15" customHeight="1" x14ac:dyDescent="0.3">
      <c r="A96" s="87"/>
      <c r="B96" s="303">
        <v>5</v>
      </c>
      <c r="C96" s="619"/>
      <c r="D96" s="620"/>
      <c r="E96" s="221"/>
      <c r="F96" s="412"/>
      <c r="G96" s="411"/>
      <c r="H96" s="94">
        <f>E96*F96</f>
        <v>0</v>
      </c>
    </row>
    <row r="97" spans="1:9" x14ac:dyDescent="0.3">
      <c r="A97" s="87"/>
      <c r="B97" s="87"/>
      <c r="C97" s="87"/>
      <c r="D97" s="87"/>
      <c r="E97" s="253" t="s">
        <v>748</v>
      </c>
      <c r="F97" s="90">
        <f>SUM(F92:F96)</f>
        <v>0</v>
      </c>
      <c r="G97" s="90"/>
      <c r="H97" s="94">
        <f>SUM(H92:H96)</f>
        <v>0</v>
      </c>
    </row>
    <row r="98" spans="1:9" x14ac:dyDescent="0.3">
      <c r="A98" s="87"/>
      <c r="B98" s="87"/>
      <c r="C98" s="87"/>
      <c r="D98" s="87"/>
      <c r="E98" s="87"/>
      <c r="F98" s="87"/>
      <c r="G98" s="87"/>
      <c r="H98" s="87"/>
    </row>
    <row r="99" spans="1:9" ht="19.5" customHeight="1" x14ac:dyDescent="0.3">
      <c r="A99" s="87"/>
      <c r="B99" s="87"/>
      <c r="C99" s="87"/>
      <c r="D99" s="87"/>
      <c r="E99" s="87"/>
      <c r="F99" s="113" t="s">
        <v>1013</v>
      </c>
      <c r="G99" s="113"/>
      <c r="H99" s="94" t="str">
        <f>IF(ISERROR(H97/F97),"",H97/F97)</f>
        <v/>
      </c>
      <c r="I99" s="410" t="str">
        <f>IF(F97=0,"",IF(H99&gt;H101,"Enter this average component consumption figure in to the relevant component specification of the water consumption calculator",""))</f>
        <v/>
      </c>
    </row>
    <row r="100" spans="1:9" x14ac:dyDescent="0.3">
      <c r="A100" s="87"/>
      <c r="B100" s="87"/>
      <c r="C100" s="87"/>
      <c r="D100" s="87"/>
      <c r="E100" s="87"/>
      <c r="F100" s="87"/>
      <c r="G100" s="87"/>
      <c r="H100" s="87"/>
    </row>
    <row r="101" spans="1:9" ht="19.5" customHeight="1" x14ac:dyDescent="0.3">
      <c r="A101" s="87"/>
      <c r="B101" s="87"/>
      <c r="C101" s="87"/>
      <c r="D101" s="87"/>
      <c r="E101" s="87"/>
      <c r="F101" s="253" t="s">
        <v>1014</v>
      </c>
      <c r="G101" s="253"/>
      <c r="H101" s="94">
        <f>MAX(E92:E96)*0.7</f>
        <v>0</v>
      </c>
      <c r="I101" s="410" t="str">
        <f>IF(F97=0,"",IF(H101&gt;H99,"Enter this average component consumption figure in to the relevant component specification of the water consumption calculator",""))</f>
        <v/>
      </c>
    </row>
    <row r="102" spans="1:9" x14ac:dyDescent="0.3">
      <c r="A102" s="87"/>
      <c r="B102" s="87"/>
      <c r="C102" s="87"/>
      <c r="D102" s="87"/>
      <c r="E102" s="87"/>
      <c r="F102" s="87"/>
      <c r="G102" s="87"/>
      <c r="H102" s="87"/>
    </row>
    <row r="103" spans="1:9" x14ac:dyDescent="0.3">
      <c r="A103" s="87"/>
      <c r="B103" s="87"/>
      <c r="C103" s="87"/>
      <c r="D103" s="87"/>
      <c r="E103" s="87"/>
      <c r="F103" s="87"/>
      <c r="G103" s="87"/>
      <c r="H103" s="87"/>
    </row>
    <row r="104" spans="1:9" x14ac:dyDescent="0.3">
      <c r="A104" s="87"/>
      <c r="B104" s="87"/>
      <c r="C104" s="87"/>
      <c r="D104" s="87"/>
      <c r="E104" s="87"/>
      <c r="F104" s="87"/>
      <c r="G104" s="87"/>
      <c r="H104" s="87"/>
    </row>
    <row r="105" spans="1:9" x14ac:dyDescent="0.3">
      <c r="A105" s="87"/>
      <c r="B105" s="87"/>
      <c r="C105" s="87"/>
      <c r="D105" s="87"/>
      <c r="E105" s="87"/>
      <c r="F105" s="87"/>
      <c r="G105" s="87"/>
      <c r="H105" s="87"/>
    </row>
    <row r="106" spans="1:9" x14ac:dyDescent="0.3">
      <c r="A106" s="87"/>
      <c r="B106" s="87"/>
      <c r="C106" s="87"/>
      <c r="D106" s="87"/>
      <c r="E106" s="87"/>
      <c r="F106" s="87"/>
      <c r="G106" s="87"/>
      <c r="H106" s="87"/>
    </row>
    <row r="107" spans="1:9" x14ac:dyDescent="0.3">
      <c r="A107" s="87"/>
      <c r="B107" s="87"/>
      <c r="C107" s="87"/>
      <c r="D107" s="87"/>
      <c r="E107" s="87"/>
      <c r="F107" s="87"/>
      <c r="G107" s="87"/>
      <c r="H107" s="87"/>
    </row>
    <row r="108" spans="1:9" x14ac:dyDescent="0.3">
      <c r="A108" s="87"/>
      <c r="B108" s="87"/>
      <c r="C108" s="87"/>
      <c r="D108" s="87"/>
      <c r="E108" s="87"/>
      <c r="F108" s="87"/>
      <c r="G108" s="87"/>
      <c r="H108" s="87"/>
    </row>
    <row r="109" spans="1:9" x14ac:dyDescent="0.3">
      <c r="A109" s="87"/>
      <c r="B109" s="87"/>
      <c r="C109" s="87"/>
      <c r="D109" s="87"/>
      <c r="E109" s="87"/>
      <c r="F109" s="87"/>
      <c r="G109" s="87"/>
      <c r="H109" s="87"/>
    </row>
    <row r="110" spans="1:9" x14ac:dyDescent="0.3">
      <c r="A110" s="87"/>
      <c r="B110" s="87"/>
      <c r="C110" s="87"/>
      <c r="D110" s="87"/>
      <c r="E110" s="87"/>
      <c r="F110" s="87"/>
      <c r="G110" s="87"/>
      <c r="H110" s="87"/>
    </row>
    <row r="111" spans="1:9" x14ac:dyDescent="0.3">
      <c r="A111" s="87"/>
      <c r="B111" s="87"/>
      <c r="C111" s="87"/>
      <c r="D111" s="87"/>
      <c r="E111" s="87"/>
      <c r="F111" s="87"/>
      <c r="G111" s="87"/>
      <c r="H111" s="87"/>
    </row>
    <row r="112" spans="1:9" x14ac:dyDescent="0.3">
      <c r="A112" s="87"/>
      <c r="B112" s="87"/>
      <c r="C112" s="87"/>
      <c r="D112" s="87"/>
      <c r="E112" s="87"/>
      <c r="F112" s="87"/>
      <c r="G112" s="87"/>
      <c r="H112" s="87"/>
    </row>
    <row r="113" s="87" customFormat="1" x14ac:dyDescent="0.3"/>
    <row r="114" s="87" customFormat="1" x14ac:dyDescent="0.3"/>
    <row r="115" s="87" customFormat="1" x14ac:dyDescent="0.3"/>
    <row r="116" s="87" customFormat="1" x14ac:dyDescent="0.3"/>
    <row r="117" s="87" customFormat="1" x14ac:dyDescent="0.3"/>
    <row r="118" s="87" customFormat="1" x14ac:dyDescent="0.3"/>
    <row r="119" s="87" customFormat="1" x14ac:dyDescent="0.3"/>
    <row r="120" s="87" customFormat="1" x14ac:dyDescent="0.3"/>
    <row r="121" s="87" customFormat="1" x14ac:dyDescent="0.3"/>
    <row r="122" s="87" customFormat="1" x14ac:dyDescent="0.3"/>
    <row r="123" s="87" customFormat="1" x14ac:dyDescent="0.3"/>
    <row r="124" s="87" customFormat="1" x14ac:dyDescent="0.3"/>
    <row r="125" s="87" customFormat="1" x14ac:dyDescent="0.3"/>
    <row r="126" s="87" customFormat="1" x14ac:dyDescent="0.3"/>
    <row r="127" s="87" customFormat="1" x14ac:dyDescent="0.3"/>
    <row r="128" s="87" customFormat="1" x14ac:dyDescent="0.3"/>
    <row r="129" s="87" customFormat="1" x14ac:dyDescent="0.3"/>
    <row r="130" s="87" customFormat="1" x14ac:dyDescent="0.3"/>
    <row r="131" s="87" customFormat="1" x14ac:dyDescent="0.3"/>
    <row r="132" s="87" customFormat="1" x14ac:dyDescent="0.3"/>
    <row r="133" s="87" customFormat="1" x14ac:dyDescent="0.3"/>
    <row r="134" s="87" customFormat="1" x14ac:dyDescent="0.3"/>
    <row r="135" s="87" customFormat="1" x14ac:dyDescent="0.3"/>
    <row r="136" s="87" customFormat="1" x14ac:dyDescent="0.3"/>
    <row r="137" s="87" customFormat="1" x14ac:dyDescent="0.3"/>
    <row r="138" s="87" customFormat="1" x14ac:dyDescent="0.3"/>
    <row r="139" s="87" customFormat="1" x14ac:dyDescent="0.3"/>
    <row r="140" s="87" customFormat="1" x14ac:dyDescent="0.3"/>
    <row r="141" s="87" customFormat="1" x14ac:dyDescent="0.3"/>
    <row r="142" s="87" customFormat="1" x14ac:dyDescent="0.3"/>
    <row r="143" s="87" customFormat="1" x14ac:dyDescent="0.3"/>
    <row r="144" s="87" customFormat="1" x14ac:dyDescent="0.3"/>
    <row r="145" s="87" customFormat="1" x14ac:dyDescent="0.3"/>
    <row r="146" s="87" customFormat="1" x14ac:dyDescent="0.3"/>
    <row r="147" s="87" customFormat="1" x14ac:dyDescent="0.3"/>
    <row r="148" s="87" customFormat="1" x14ac:dyDescent="0.3"/>
    <row r="149" s="87" customFormat="1" x14ac:dyDescent="0.3"/>
    <row r="150" s="87" customFormat="1" x14ac:dyDescent="0.3"/>
    <row r="151" s="87" customFormat="1" x14ac:dyDescent="0.3"/>
    <row r="152" s="87" customFormat="1" x14ac:dyDescent="0.3"/>
    <row r="153" s="87" customFormat="1" x14ac:dyDescent="0.3"/>
    <row r="154" s="87" customFormat="1" x14ac:dyDescent="0.3"/>
    <row r="155" s="87" customFormat="1" x14ac:dyDescent="0.3"/>
    <row r="156" s="87" customFormat="1" x14ac:dyDescent="0.3"/>
    <row r="157" s="87" customFormat="1" x14ac:dyDescent="0.3"/>
    <row r="158" s="87" customFormat="1" x14ac:dyDescent="0.3"/>
    <row r="159" s="87" customFormat="1" x14ac:dyDescent="0.3"/>
    <row r="160" s="87" customFormat="1" x14ac:dyDescent="0.3"/>
    <row r="161" s="87" customFormat="1" x14ac:dyDescent="0.3"/>
    <row r="162" s="87" customFormat="1" x14ac:dyDescent="0.3"/>
    <row r="163" s="87" customFormat="1" x14ac:dyDescent="0.3"/>
    <row r="164" s="87" customFormat="1" x14ac:dyDescent="0.3"/>
    <row r="165" s="87" customFormat="1" x14ac:dyDescent="0.3"/>
    <row r="166" s="87" customFormat="1" x14ac:dyDescent="0.3"/>
    <row r="167" s="87" customFormat="1" x14ac:dyDescent="0.3"/>
    <row r="168" s="87" customFormat="1" x14ac:dyDescent="0.3"/>
    <row r="169" s="87" customFormat="1" x14ac:dyDescent="0.3"/>
    <row r="170" s="87" customFormat="1" x14ac:dyDescent="0.3"/>
    <row r="171" s="87" customFormat="1" x14ac:dyDescent="0.3"/>
    <row r="172" s="87" customFormat="1" x14ac:dyDescent="0.3"/>
    <row r="173" s="87" customFormat="1" x14ac:dyDescent="0.3"/>
    <row r="174" s="87" customFormat="1" x14ac:dyDescent="0.3"/>
    <row r="175" s="87" customFormat="1" x14ac:dyDescent="0.3"/>
    <row r="176" s="87" customFormat="1" x14ac:dyDescent="0.3"/>
    <row r="177" s="87" customFormat="1" x14ac:dyDescent="0.3"/>
    <row r="178" s="87" customFormat="1" x14ac:dyDescent="0.3"/>
    <row r="179" s="87" customFormat="1" x14ac:dyDescent="0.3"/>
    <row r="180" s="87" customFormat="1" x14ac:dyDescent="0.3"/>
    <row r="181" s="87" customFormat="1" x14ac:dyDescent="0.3"/>
    <row r="182" s="87" customFormat="1" x14ac:dyDescent="0.3"/>
    <row r="183" s="87" customFormat="1" x14ac:dyDescent="0.3"/>
    <row r="184" s="87" customFormat="1" x14ac:dyDescent="0.3"/>
    <row r="185" s="87" customFormat="1" x14ac:dyDescent="0.3"/>
    <row r="186" s="87" customFormat="1" x14ac:dyDescent="0.3"/>
    <row r="187" s="87" customFormat="1" x14ac:dyDescent="0.3"/>
    <row r="188" s="87" customFormat="1" x14ac:dyDescent="0.3"/>
    <row r="189" s="87" customFormat="1" x14ac:dyDescent="0.3"/>
    <row r="190" s="87" customFormat="1" x14ac:dyDescent="0.3"/>
    <row r="191" s="87" customFormat="1" x14ac:dyDescent="0.3"/>
    <row r="192" s="87" customFormat="1" x14ac:dyDescent="0.3"/>
    <row r="193" s="87" customFormat="1" x14ac:dyDescent="0.3"/>
    <row r="194" s="87" customFormat="1" x14ac:dyDescent="0.3"/>
    <row r="195" s="87" customFormat="1" x14ac:dyDescent="0.3"/>
    <row r="196" s="87" customFormat="1" x14ac:dyDescent="0.3"/>
    <row r="197" s="87" customFormat="1" x14ac:dyDescent="0.3"/>
    <row r="198" s="87" customFormat="1" x14ac:dyDescent="0.3"/>
    <row r="199" s="87" customFormat="1" x14ac:dyDescent="0.3"/>
    <row r="200" s="87" customFormat="1" x14ac:dyDescent="0.3"/>
    <row r="201" s="87" customFormat="1" x14ac:dyDescent="0.3"/>
    <row r="202" s="87" customFormat="1" x14ac:dyDescent="0.3"/>
    <row r="203" s="87" customFormat="1" x14ac:dyDescent="0.3"/>
    <row r="204" s="87" customFormat="1" x14ac:dyDescent="0.3"/>
    <row r="205" s="87" customFormat="1" x14ac:dyDescent="0.3"/>
    <row r="206" s="87" customFormat="1" x14ac:dyDescent="0.3"/>
    <row r="207" s="87" customFormat="1" x14ac:dyDescent="0.3"/>
    <row r="208" s="87" customFormat="1" x14ac:dyDescent="0.3"/>
  </sheetData>
  <sheetProtection algorithmName="SHA-512" hashValue="hUF3RNI4t56CbTzQ6kH+WHeHDj1Oppoc2WRcJjXREcxjUHQ+yoLZSo0EX9IsacpvDsKP1gE2u8BlmVcJXLpq3w==" saltValue="3UYHP50LM+xQ5n4Sh1hZnQ==" spinCount="100000" sheet="1" objects="1" scenarios="1"/>
  <mergeCells count="41">
    <mergeCell ref="B63:D63"/>
    <mergeCell ref="C64:D64"/>
    <mergeCell ref="C65:D65"/>
    <mergeCell ref="C66:D66"/>
    <mergeCell ref="C68:D68"/>
    <mergeCell ref="C67:D67"/>
    <mergeCell ref="C96:D96"/>
    <mergeCell ref="B77:D77"/>
    <mergeCell ref="C78:D78"/>
    <mergeCell ref="C79:D79"/>
    <mergeCell ref="C80:D80"/>
    <mergeCell ref="C81:D81"/>
    <mergeCell ref="C82:D82"/>
    <mergeCell ref="B91:D91"/>
    <mergeCell ref="C92:D92"/>
    <mergeCell ref="C93:D93"/>
    <mergeCell ref="C94:D94"/>
    <mergeCell ref="C95:D95"/>
    <mergeCell ref="C41:D41"/>
    <mergeCell ref="B8:C8"/>
    <mergeCell ref="B37:D37"/>
    <mergeCell ref="C38:D38"/>
    <mergeCell ref="C39:D39"/>
    <mergeCell ref="C40:D40"/>
    <mergeCell ref="C52:D52"/>
    <mergeCell ref="C53:D53"/>
    <mergeCell ref="C54:D54"/>
    <mergeCell ref="B49:D49"/>
    <mergeCell ref="C42:D42"/>
    <mergeCell ref="C50:D50"/>
    <mergeCell ref="C51:D51"/>
    <mergeCell ref="D6:H6"/>
    <mergeCell ref="D8:H8"/>
    <mergeCell ref="C17:D17"/>
    <mergeCell ref="B24:C24"/>
    <mergeCell ref="B6:C6"/>
    <mergeCell ref="B12:D12"/>
    <mergeCell ref="C13:D13"/>
    <mergeCell ref="C14:D14"/>
    <mergeCell ref="C15:D15"/>
    <mergeCell ref="C16:D16"/>
  </mergeCells>
  <dataValidations count="1">
    <dataValidation allowBlank="1" showInputMessage="1" showErrorMessage="1" prompt="Enter the effective flush volume for the WC type._x000a__x000a_Refer to the technical guide for a definition oof effective flush volume and how to calculate it." sqref="E50:E54 E92:E96 E78:E82 E64:E68 D25:D26 E27:E29 E13:E17 E38:E42" xr:uid="{00000000-0002-0000-0C00-000000000000}"/>
  </dataValidation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dimension ref="A2:O57"/>
  <sheetViews>
    <sheetView zoomScaleNormal="100" workbookViewId="0">
      <selection activeCell="F15" sqref="F15:N15"/>
    </sheetView>
  </sheetViews>
  <sheetFormatPr defaultColWidth="9.1796875" defaultRowHeight="13" x14ac:dyDescent="0.3"/>
  <cols>
    <col min="1" max="1" width="4.453125" style="399" customWidth="1"/>
    <col min="2" max="2" width="17.26953125" style="409" customWidth="1"/>
    <col min="3" max="3" width="1.7265625" style="409" customWidth="1"/>
    <col min="4" max="4" width="14.1796875" style="409" customWidth="1"/>
    <col min="5" max="5" width="2.54296875" style="409" customWidth="1"/>
    <col min="6" max="7" width="11.26953125" style="409" customWidth="1"/>
    <col min="8" max="8" width="12.26953125" style="409" customWidth="1"/>
    <col min="9" max="13" width="11.26953125" style="409" customWidth="1"/>
    <col min="14" max="14" width="5.54296875" style="399" customWidth="1"/>
    <col min="15" max="15" width="5.7265625" style="399" customWidth="1"/>
    <col min="16" max="16384" width="9.1796875" style="409"/>
  </cols>
  <sheetData>
    <row r="2" spans="2:14" ht="35.15" customHeight="1" x14ac:dyDescent="0.3">
      <c r="B2" s="440" t="s">
        <v>1015</v>
      </c>
      <c r="C2" s="440"/>
      <c r="D2" s="440"/>
      <c r="E2" s="440"/>
      <c r="F2" s="440"/>
      <c r="G2" s="440"/>
      <c r="H2" s="440"/>
      <c r="I2" s="440"/>
      <c r="J2" s="440"/>
      <c r="K2" s="440"/>
      <c r="L2" s="440"/>
      <c r="M2" s="440"/>
      <c r="N2" s="440"/>
    </row>
    <row r="3" spans="2:14" ht="6" customHeight="1" x14ac:dyDescent="0.3">
      <c r="B3" s="400"/>
      <c r="C3" s="401"/>
      <c r="D3" s="401"/>
      <c r="E3" s="401"/>
      <c r="F3" s="401"/>
      <c r="G3" s="401"/>
      <c r="H3" s="401"/>
      <c r="I3" s="401"/>
      <c r="J3" s="401"/>
      <c r="K3" s="401"/>
      <c r="L3" s="401"/>
      <c r="M3" s="401"/>
      <c r="N3" s="401"/>
    </row>
    <row r="4" spans="2:14" ht="14.5" x14ac:dyDescent="0.35">
      <c r="B4" s="459" t="s">
        <v>1016</v>
      </c>
      <c r="C4" s="402"/>
      <c r="D4" s="459" t="s">
        <v>1017</v>
      </c>
      <c r="E4" s="403"/>
      <c r="F4" s="460" t="s">
        <v>1018</v>
      </c>
      <c r="G4" s="461"/>
      <c r="H4" s="461"/>
      <c r="I4" s="461"/>
      <c r="J4" s="461"/>
      <c r="K4" s="461"/>
      <c r="L4" s="461"/>
      <c r="M4" s="461"/>
      <c r="N4" s="461"/>
    </row>
    <row r="5" spans="2:14" ht="3" customHeight="1" x14ac:dyDescent="0.3">
      <c r="B5" s="399"/>
      <c r="C5" s="399"/>
      <c r="D5" s="399"/>
      <c r="E5" s="399"/>
      <c r="F5" s="399"/>
      <c r="G5" s="399"/>
      <c r="H5" s="399"/>
      <c r="I5" s="399"/>
      <c r="J5" s="399"/>
      <c r="K5" s="399"/>
      <c r="L5" s="399"/>
      <c r="M5" s="399"/>
    </row>
    <row r="6" spans="2:14" ht="14.5" x14ac:dyDescent="0.35">
      <c r="B6" s="480">
        <v>4.3</v>
      </c>
      <c r="C6" s="403"/>
      <c r="D6" s="405">
        <v>45387</v>
      </c>
      <c r="E6" s="403"/>
      <c r="F6" s="623" t="s">
        <v>1028</v>
      </c>
      <c r="G6" s="623"/>
      <c r="H6" s="623"/>
      <c r="I6" s="623"/>
      <c r="J6" s="623"/>
      <c r="K6" s="623"/>
      <c r="L6" s="623"/>
      <c r="M6" s="623"/>
      <c r="N6" s="623"/>
    </row>
    <row r="7" spans="2:14" s="399" customFormat="1" ht="6" customHeight="1" x14ac:dyDescent="0.35">
      <c r="B7" s="403"/>
      <c r="C7" s="403"/>
      <c r="D7" s="403"/>
      <c r="E7" s="403"/>
      <c r="F7" s="408"/>
      <c r="G7" s="408"/>
      <c r="H7" s="408"/>
      <c r="I7" s="408"/>
      <c r="J7" s="408"/>
      <c r="K7" s="408"/>
      <c r="L7" s="408"/>
      <c r="M7" s="408"/>
      <c r="N7" s="408"/>
    </row>
    <row r="8" spans="2:14" s="399" customFormat="1" ht="14.5" x14ac:dyDescent="0.35">
      <c r="B8" s="459" t="s">
        <v>1020</v>
      </c>
      <c r="C8" s="402"/>
      <c r="D8" s="459" t="s">
        <v>1017</v>
      </c>
      <c r="E8" s="403"/>
      <c r="F8" s="460" t="s">
        <v>1021</v>
      </c>
      <c r="G8" s="461"/>
      <c r="H8" s="461"/>
      <c r="I8" s="461"/>
      <c r="J8" s="461"/>
      <c r="K8" s="461"/>
      <c r="L8" s="461"/>
      <c r="M8" s="461"/>
      <c r="N8" s="461"/>
    </row>
    <row r="9" spans="2:14" s="399" customFormat="1" ht="6" customHeight="1" x14ac:dyDescent="0.35">
      <c r="B9" s="483"/>
      <c r="C9" s="402"/>
      <c r="D9" s="483"/>
      <c r="E9" s="403"/>
      <c r="F9" s="484"/>
      <c r="G9" s="485"/>
      <c r="H9" s="485"/>
      <c r="I9" s="485"/>
      <c r="J9" s="485"/>
      <c r="K9" s="485"/>
      <c r="L9" s="485"/>
      <c r="M9" s="485"/>
      <c r="N9" s="485"/>
    </row>
    <row r="10" spans="2:14" ht="12.5" customHeight="1" x14ac:dyDescent="0.35">
      <c r="B10" s="480">
        <v>4.2</v>
      </c>
      <c r="C10" s="403"/>
      <c r="D10" s="405">
        <v>45328</v>
      </c>
      <c r="E10" s="403"/>
      <c r="F10" s="623" t="s">
        <v>1027</v>
      </c>
      <c r="G10" s="623"/>
      <c r="H10" s="623"/>
      <c r="I10" s="623"/>
      <c r="J10" s="623"/>
      <c r="K10" s="623"/>
      <c r="L10" s="623"/>
      <c r="M10" s="623"/>
      <c r="N10" s="623"/>
    </row>
    <row r="11" spans="2:14" ht="2.25" customHeight="1" x14ac:dyDescent="0.3">
      <c r="B11" s="399"/>
      <c r="C11" s="399"/>
      <c r="D11" s="399"/>
      <c r="E11" s="399"/>
      <c r="F11" s="399"/>
      <c r="G11" s="399"/>
      <c r="H11" s="399"/>
      <c r="I11" s="399"/>
      <c r="J11" s="399"/>
      <c r="K11" s="399"/>
      <c r="L11" s="399"/>
      <c r="M11" s="399"/>
    </row>
    <row r="12" spans="2:14" ht="2.25" customHeight="1" x14ac:dyDescent="0.3">
      <c r="B12" s="399"/>
      <c r="C12" s="399"/>
      <c r="D12" s="399"/>
      <c r="E12" s="399"/>
      <c r="F12" s="399"/>
      <c r="G12" s="399"/>
      <c r="H12" s="399"/>
      <c r="I12" s="399"/>
      <c r="J12" s="399"/>
      <c r="K12" s="399"/>
      <c r="L12" s="399"/>
      <c r="M12" s="399"/>
    </row>
    <row r="13" spans="2:14" ht="15.75" customHeight="1" x14ac:dyDescent="0.35">
      <c r="B13" s="480">
        <v>4.0999999999999996</v>
      </c>
      <c r="C13" s="403"/>
      <c r="D13" s="405">
        <v>44712</v>
      </c>
      <c r="E13" s="403"/>
      <c r="F13" s="623" t="s">
        <v>1019</v>
      </c>
      <c r="G13" s="623"/>
      <c r="H13" s="623"/>
      <c r="I13" s="623"/>
      <c r="J13" s="623"/>
      <c r="K13" s="623"/>
      <c r="L13" s="623"/>
      <c r="M13" s="623"/>
      <c r="N13" s="623"/>
    </row>
    <row r="14" spans="2:14" ht="3" customHeight="1" x14ac:dyDescent="0.3">
      <c r="B14" s="399"/>
      <c r="C14" s="399"/>
      <c r="D14" s="399"/>
      <c r="E14" s="399"/>
      <c r="F14" s="399"/>
      <c r="G14" s="399"/>
      <c r="H14" s="399"/>
      <c r="I14" s="399"/>
      <c r="J14" s="399"/>
      <c r="K14" s="399"/>
      <c r="L14" s="399"/>
      <c r="M14" s="399"/>
    </row>
    <row r="15" spans="2:14" ht="33" customHeight="1" x14ac:dyDescent="0.35">
      <c r="B15" s="480">
        <v>4</v>
      </c>
      <c r="C15" s="403"/>
      <c r="D15" s="405">
        <v>44523</v>
      </c>
      <c r="E15" s="403"/>
      <c r="F15" s="639" t="s">
        <v>1022</v>
      </c>
      <c r="G15" s="639"/>
      <c r="H15" s="639"/>
      <c r="I15" s="639"/>
      <c r="J15" s="639"/>
      <c r="K15" s="639"/>
      <c r="L15" s="639"/>
      <c r="M15" s="639"/>
      <c r="N15" s="639"/>
    </row>
    <row r="16" spans="2:14" s="399" customFormat="1" ht="5.25" customHeight="1" x14ac:dyDescent="0.35">
      <c r="B16" s="483"/>
      <c r="C16" s="402"/>
      <c r="D16" s="483"/>
      <c r="E16" s="403"/>
      <c r="F16" s="484"/>
      <c r="G16" s="485"/>
      <c r="H16" s="485"/>
      <c r="I16" s="485"/>
      <c r="J16" s="485"/>
      <c r="K16" s="485"/>
      <c r="L16" s="485"/>
      <c r="M16" s="485"/>
      <c r="N16" s="485"/>
    </row>
    <row r="17" spans="2:14" ht="13.5" customHeight="1" x14ac:dyDescent="0.35">
      <c r="B17" s="480">
        <v>3</v>
      </c>
      <c r="C17" s="403"/>
      <c r="D17" s="405">
        <v>42787</v>
      </c>
      <c r="E17" s="403"/>
      <c r="F17" s="623" t="s">
        <v>1023</v>
      </c>
      <c r="G17" s="623"/>
      <c r="H17" s="623"/>
      <c r="I17" s="623"/>
      <c r="J17" s="623"/>
      <c r="K17" s="623"/>
      <c r="L17" s="623"/>
      <c r="M17" s="623"/>
      <c r="N17" s="623"/>
    </row>
    <row r="18" spans="2:14" ht="3" customHeight="1" x14ac:dyDescent="0.3">
      <c r="B18" s="399"/>
      <c r="C18" s="399"/>
      <c r="D18" s="399"/>
      <c r="E18" s="399"/>
      <c r="F18" s="399"/>
      <c r="G18" s="399"/>
      <c r="H18" s="399"/>
      <c r="I18" s="399"/>
      <c r="J18" s="399"/>
      <c r="K18" s="399"/>
      <c r="L18" s="399"/>
      <c r="M18" s="399"/>
    </row>
    <row r="19" spans="2:14" ht="3" customHeight="1" x14ac:dyDescent="0.3">
      <c r="B19" s="399"/>
      <c r="C19" s="399"/>
      <c r="D19" s="399"/>
      <c r="E19" s="399"/>
      <c r="F19" s="399"/>
      <c r="G19" s="399"/>
      <c r="H19" s="399"/>
      <c r="I19" s="399"/>
      <c r="J19" s="399"/>
      <c r="K19" s="399"/>
      <c r="L19" s="399"/>
      <c r="M19" s="399"/>
    </row>
    <row r="20" spans="2:14" ht="18.75" customHeight="1" x14ac:dyDescent="0.35">
      <c r="B20" s="480">
        <v>2</v>
      </c>
      <c r="C20" s="403"/>
      <c r="D20" s="405">
        <v>42682</v>
      </c>
      <c r="E20" s="403"/>
      <c r="F20" s="623" t="s">
        <v>1024</v>
      </c>
      <c r="G20" s="623"/>
      <c r="H20" s="623"/>
      <c r="I20" s="623"/>
      <c r="J20" s="623"/>
      <c r="K20" s="623"/>
      <c r="L20" s="623"/>
      <c r="M20" s="623"/>
      <c r="N20" s="623"/>
    </row>
    <row r="21" spans="2:14" ht="3" customHeight="1" x14ac:dyDescent="0.3">
      <c r="B21" s="399"/>
      <c r="C21" s="399"/>
      <c r="D21" s="399"/>
      <c r="E21" s="399"/>
      <c r="F21" s="399"/>
      <c r="G21" s="399"/>
      <c r="H21" s="399"/>
      <c r="I21" s="399"/>
      <c r="J21" s="399"/>
      <c r="K21" s="399"/>
      <c r="L21" s="399"/>
      <c r="M21" s="399"/>
    </row>
    <row r="22" spans="2:14" ht="18.75" customHeight="1" x14ac:dyDescent="0.35">
      <c r="B22" s="480">
        <v>1</v>
      </c>
      <c r="C22" s="403"/>
      <c r="D22" s="405">
        <v>42450</v>
      </c>
      <c r="E22" s="403"/>
      <c r="F22" s="623" t="s">
        <v>1025</v>
      </c>
      <c r="G22" s="623"/>
      <c r="H22" s="623"/>
      <c r="I22" s="623"/>
      <c r="J22" s="623"/>
      <c r="K22" s="623"/>
      <c r="L22" s="623"/>
      <c r="M22" s="623"/>
      <c r="N22" s="623"/>
    </row>
    <row r="23" spans="2:14" ht="3" customHeight="1" x14ac:dyDescent="0.3">
      <c r="B23" s="399"/>
      <c r="C23" s="399"/>
      <c r="D23" s="399"/>
      <c r="E23" s="399"/>
      <c r="F23" s="399"/>
      <c r="G23" s="399"/>
      <c r="H23" s="399"/>
      <c r="I23" s="399"/>
      <c r="J23" s="399"/>
      <c r="K23" s="399"/>
      <c r="L23" s="399"/>
      <c r="M23" s="399"/>
    </row>
    <row r="24" spans="2:14" ht="15" hidden="1" customHeight="1" x14ac:dyDescent="0.35">
      <c r="B24" s="404"/>
      <c r="C24" s="403"/>
      <c r="D24" s="405"/>
      <c r="E24" s="403"/>
      <c r="F24" s="627"/>
      <c r="G24" s="628"/>
      <c r="H24" s="628"/>
      <c r="I24" s="628"/>
      <c r="J24" s="628"/>
      <c r="K24" s="628"/>
      <c r="L24" s="628"/>
      <c r="M24" s="628"/>
      <c r="N24" s="629"/>
    </row>
    <row r="25" spans="2:14" ht="15" hidden="1" customHeight="1" x14ac:dyDescent="0.35">
      <c r="B25" s="406"/>
      <c r="C25" s="403"/>
      <c r="D25" s="407"/>
      <c r="E25" s="403"/>
      <c r="F25" s="630"/>
      <c r="G25" s="631"/>
      <c r="H25" s="631"/>
      <c r="I25" s="631"/>
      <c r="J25" s="631"/>
      <c r="K25" s="631"/>
      <c r="L25" s="631"/>
      <c r="M25" s="631"/>
      <c r="N25" s="632"/>
    </row>
    <row r="26" spans="2:14" s="399" customFormat="1" ht="15" hidden="1" customHeight="1" x14ac:dyDescent="0.35">
      <c r="B26" s="406"/>
      <c r="C26" s="403"/>
      <c r="D26" s="407"/>
      <c r="E26" s="403"/>
      <c r="F26" s="633"/>
      <c r="G26" s="634"/>
      <c r="H26" s="634"/>
      <c r="I26" s="634"/>
      <c r="J26" s="634"/>
      <c r="K26" s="634"/>
      <c r="L26" s="634"/>
      <c r="M26" s="634"/>
      <c r="N26" s="635"/>
    </row>
    <row r="27" spans="2:14" ht="3" hidden="1" customHeight="1" x14ac:dyDescent="0.3">
      <c r="B27" s="399"/>
      <c r="C27" s="399"/>
      <c r="D27" s="399"/>
      <c r="E27" s="399"/>
      <c r="F27" s="399"/>
      <c r="G27" s="399"/>
      <c r="H27" s="399"/>
      <c r="I27" s="399"/>
      <c r="J27" s="399"/>
      <c r="K27" s="399"/>
      <c r="L27" s="399"/>
      <c r="M27" s="399"/>
    </row>
    <row r="28" spans="2:14" ht="15" hidden="1" customHeight="1" x14ac:dyDescent="0.35">
      <c r="B28" s="404"/>
      <c r="C28" s="403"/>
      <c r="D28" s="405"/>
      <c r="E28" s="403"/>
      <c r="F28" s="627"/>
      <c r="G28" s="628"/>
      <c r="H28" s="628"/>
      <c r="I28" s="628"/>
      <c r="J28" s="628"/>
      <c r="K28" s="628"/>
      <c r="L28" s="628"/>
      <c r="M28" s="628"/>
      <c r="N28" s="629"/>
    </row>
    <row r="29" spans="2:14" ht="15" hidden="1" customHeight="1" x14ac:dyDescent="0.35">
      <c r="B29" s="406"/>
      <c r="C29" s="403"/>
      <c r="D29" s="407"/>
      <c r="E29" s="403"/>
      <c r="F29" s="630"/>
      <c r="G29" s="631"/>
      <c r="H29" s="631"/>
      <c r="I29" s="631"/>
      <c r="J29" s="631"/>
      <c r="K29" s="631"/>
      <c r="L29" s="631"/>
      <c r="M29" s="631"/>
      <c r="N29" s="632"/>
    </row>
    <row r="30" spans="2:14" s="399" customFormat="1" ht="15" hidden="1" customHeight="1" x14ac:dyDescent="0.35">
      <c r="B30" s="406"/>
      <c r="C30" s="403"/>
      <c r="D30" s="407"/>
      <c r="E30" s="403"/>
      <c r="F30" s="633"/>
      <c r="G30" s="634"/>
      <c r="H30" s="634"/>
      <c r="I30" s="634"/>
      <c r="J30" s="634"/>
      <c r="K30" s="634"/>
      <c r="L30" s="634"/>
      <c r="M30" s="634"/>
      <c r="N30" s="635"/>
    </row>
    <row r="31" spans="2:14" s="399" customFormat="1" ht="3" hidden="1" customHeight="1" x14ac:dyDescent="0.35">
      <c r="B31" s="406"/>
      <c r="C31" s="403"/>
      <c r="D31" s="407"/>
      <c r="E31" s="403"/>
      <c r="F31" s="408"/>
      <c r="G31" s="408"/>
      <c r="H31" s="408"/>
      <c r="I31" s="408"/>
      <c r="J31" s="408"/>
      <c r="K31" s="408"/>
      <c r="L31" s="408"/>
      <c r="M31" s="408"/>
      <c r="N31" s="408"/>
    </row>
    <row r="32" spans="2:14" s="399" customFormat="1" ht="34.5" hidden="1" customHeight="1" x14ac:dyDescent="0.35">
      <c r="B32" s="406"/>
      <c r="C32" s="403"/>
      <c r="D32" s="407"/>
      <c r="E32" s="403"/>
      <c r="F32" s="636"/>
      <c r="G32" s="637"/>
      <c r="H32" s="637"/>
      <c r="I32" s="637"/>
      <c r="J32" s="637"/>
      <c r="K32" s="637"/>
      <c r="L32" s="637"/>
      <c r="M32" s="637"/>
      <c r="N32" s="638"/>
    </row>
    <row r="33" spans="2:14" s="399" customFormat="1" ht="3" hidden="1" customHeight="1" x14ac:dyDescent="0.35">
      <c r="B33" s="406"/>
      <c r="C33" s="403"/>
      <c r="D33" s="407"/>
      <c r="E33" s="403"/>
      <c r="F33" s="408"/>
      <c r="G33" s="408"/>
      <c r="H33" s="408"/>
      <c r="I33" s="408"/>
      <c r="J33" s="408"/>
      <c r="K33" s="408"/>
      <c r="L33" s="408"/>
      <c r="M33" s="408"/>
      <c r="N33" s="408"/>
    </row>
    <row r="34" spans="2:14" s="399" customFormat="1" ht="15" hidden="1" customHeight="1" x14ac:dyDescent="0.35">
      <c r="B34" s="406"/>
      <c r="C34" s="403"/>
      <c r="D34" s="407"/>
      <c r="E34" s="403"/>
      <c r="F34" s="627"/>
      <c r="G34" s="628"/>
      <c r="H34" s="628"/>
      <c r="I34" s="628"/>
      <c r="J34" s="628"/>
      <c r="K34" s="628"/>
      <c r="L34" s="628"/>
      <c r="M34" s="628"/>
      <c r="N34" s="629"/>
    </row>
    <row r="35" spans="2:14" s="399" customFormat="1" ht="15" hidden="1" customHeight="1" x14ac:dyDescent="0.35">
      <c r="B35" s="406"/>
      <c r="C35" s="403"/>
      <c r="D35" s="407"/>
      <c r="E35" s="403"/>
      <c r="F35" s="633"/>
      <c r="G35" s="634"/>
      <c r="H35" s="634"/>
      <c r="I35" s="634"/>
      <c r="J35" s="634"/>
      <c r="K35" s="634"/>
      <c r="L35" s="634"/>
      <c r="M35" s="634"/>
      <c r="N35" s="635"/>
    </row>
    <row r="36" spans="2:14" s="399" customFormat="1" ht="5.25" hidden="1" customHeight="1" x14ac:dyDescent="0.35">
      <c r="B36" s="403"/>
      <c r="C36" s="403"/>
      <c r="D36" s="403"/>
      <c r="E36" s="403"/>
      <c r="F36" s="403"/>
      <c r="G36" s="403"/>
      <c r="H36" s="403"/>
      <c r="I36" s="403"/>
      <c r="J36" s="403"/>
      <c r="K36" s="403"/>
      <c r="L36" s="403"/>
      <c r="M36" s="403"/>
      <c r="N36" s="403"/>
    </row>
    <row r="37" spans="2:14" ht="15" hidden="1" customHeight="1" x14ac:dyDescent="0.35">
      <c r="B37" s="404"/>
      <c r="C37" s="403"/>
      <c r="D37" s="405"/>
      <c r="E37" s="403"/>
      <c r="F37" s="627"/>
      <c r="G37" s="628"/>
      <c r="H37" s="628"/>
      <c r="I37" s="628"/>
      <c r="J37" s="628"/>
      <c r="K37" s="628"/>
      <c r="L37" s="628"/>
      <c r="M37" s="628"/>
      <c r="N37" s="629"/>
    </row>
    <row r="38" spans="2:14" ht="15" hidden="1" customHeight="1" x14ac:dyDescent="0.35">
      <c r="B38" s="406"/>
      <c r="C38" s="403"/>
      <c r="D38" s="407"/>
      <c r="E38" s="403"/>
      <c r="F38" s="630"/>
      <c r="G38" s="631"/>
      <c r="H38" s="631"/>
      <c r="I38" s="631"/>
      <c r="J38" s="631"/>
      <c r="K38" s="631"/>
      <c r="L38" s="631"/>
      <c r="M38" s="631"/>
      <c r="N38" s="632"/>
    </row>
    <row r="39" spans="2:14" s="399" customFormat="1" ht="15" hidden="1" customHeight="1" x14ac:dyDescent="0.35">
      <c r="B39" s="406"/>
      <c r="C39" s="403"/>
      <c r="D39" s="407"/>
      <c r="E39" s="403"/>
      <c r="F39" s="633"/>
      <c r="G39" s="634"/>
      <c r="H39" s="634"/>
      <c r="I39" s="634"/>
      <c r="J39" s="634"/>
      <c r="K39" s="634"/>
      <c r="L39" s="634"/>
      <c r="M39" s="634"/>
      <c r="N39" s="635"/>
    </row>
    <row r="40" spans="2:14" s="399" customFormat="1" ht="5.25" hidden="1" customHeight="1" x14ac:dyDescent="0.35">
      <c r="B40" s="403"/>
      <c r="C40" s="403"/>
      <c r="D40" s="403"/>
      <c r="E40" s="403"/>
      <c r="F40" s="403"/>
      <c r="G40" s="403"/>
      <c r="H40" s="403"/>
      <c r="I40" s="403"/>
      <c r="J40" s="403"/>
      <c r="K40" s="403"/>
      <c r="L40" s="403"/>
      <c r="M40" s="403"/>
      <c r="N40" s="403"/>
    </row>
    <row r="41" spans="2:14" s="399" customFormat="1" ht="17.25" hidden="1" customHeight="1" x14ac:dyDescent="0.35">
      <c r="B41" s="404"/>
      <c r="C41" s="403"/>
      <c r="D41" s="405"/>
      <c r="E41" s="403"/>
      <c r="F41" s="624"/>
      <c r="G41" s="625"/>
      <c r="H41" s="625"/>
      <c r="I41" s="625"/>
      <c r="J41" s="625"/>
      <c r="K41" s="625"/>
      <c r="L41" s="625"/>
      <c r="M41" s="625"/>
      <c r="N41" s="626"/>
    </row>
    <row r="42" spans="2:14" s="399" customFormat="1" ht="14.5" x14ac:dyDescent="0.35">
      <c r="B42" s="403"/>
      <c r="C42" s="403"/>
      <c r="D42" s="403"/>
      <c r="E42" s="403"/>
      <c r="F42" s="408"/>
      <c r="G42" s="408"/>
      <c r="H42" s="408"/>
      <c r="I42" s="408"/>
      <c r="J42" s="408"/>
      <c r="K42" s="408"/>
      <c r="L42" s="408"/>
      <c r="M42" s="408"/>
      <c r="N42" s="408"/>
    </row>
    <row r="43" spans="2:14" s="399" customFormat="1" x14ac:dyDescent="0.3"/>
    <row r="57" spans="14:14" x14ac:dyDescent="0.3">
      <c r="N57" s="486" t="s">
        <v>1026</v>
      </c>
    </row>
  </sheetData>
  <sheetProtection algorithmName="SHA-512" hashValue="VHIe3H2jSRHnRuDGcLOKM0jsbZkzvo8xPg1j3tcGXIyL2bFapYlrE8Q+hW3L6qm//ZqM5JKlfPqoZUx/JPe8TA==" saltValue="ENv9k+2qsu16g9lnwI5cJw==" spinCount="100000" sheet="1" objects="1" scenarios="1"/>
  <mergeCells count="13">
    <mergeCell ref="F6:N6"/>
    <mergeCell ref="F13:N13"/>
    <mergeCell ref="F22:N22"/>
    <mergeCell ref="F10:N10"/>
    <mergeCell ref="F41:N41"/>
    <mergeCell ref="F37:N39"/>
    <mergeCell ref="F32:N32"/>
    <mergeCell ref="F34:N35"/>
    <mergeCell ref="F28:N30"/>
    <mergeCell ref="F24:N26"/>
    <mergeCell ref="F20:N20"/>
    <mergeCell ref="F17:N17"/>
    <mergeCell ref="F15:N15"/>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filterMode="1"/>
  <dimension ref="A1:AD359"/>
  <sheetViews>
    <sheetView topLeftCell="A88" zoomScale="80" zoomScaleNormal="80" workbookViewId="0">
      <selection activeCell="D210" sqref="D210"/>
    </sheetView>
  </sheetViews>
  <sheetFormatPr defaultColWidth="9.1796875" defaultRowHeight="12.5" x14ac:dyDescent="0.25"/>
  <cols>
    <col min="1" max="1" width="13.26953125" style="316" customWidth="1"/>
    <col min="2" max="2" width="30" style="314" customWidth="1"/>
    <col min="3" max="3" width="26.26953125" style="314" customWidth="1"/>
    <col min="4" max="4" width="19.1796875" style="314" bestFit="1" customWidth="1"/>
    <col min="5" max="5" width="0" style="314" hidden="1" customWidth="1"/>
    <col min="6" max="6" width="15.26953125" style="314" customWidth="1"/>
    <col min="7" max="16384" width="9.1796875" style="314"/>
  </cols>
  <sheetData>
    <row r="1" spans="1:30" ht="23" x14ac:dyDescent="0.5">
      <c r="A1" s="313" t="s">
        <v>3</v>
      </c>
    </row>
    <row r="2" spans="1:30" x14ac:dyDescent="0.25">
      <c r="A2" s="315"/>
    </row>
    <row r="3" spans="1:30" x14ac:dyDescent="0.25">
      <c r="A3" s="315" t="s">
        <v>4</v>
      </c>
    </row>
    <row r="4" spans="1:30" x14ac:dyDescent="0.25">
      <c r="A4" s="315" t="s">
        <v>5</v>
      </c>
    </row>
    <row r="5" spans="1:30" x14ac:dyDescent="0.25">
      <c r="A5" s="315" t="s">
        <v>6</v>
      </c>
    </row>
    <row r="6" spans="1:30" x14ac:dyDescent="0.25">
      <c r="A6" s="315" t="s">
        <v>7</v>
      </c>
    </row>
    <row r="7" spans="1:30" x14ac:dyDescent="0.25">
      <c r="A7" s="315"/>
    </row>
    <row r="8" spans="1: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c r="X8" s="5" t="s">
        <v>31</v>
      </c>
      <c r="Y8" s="5" t="s">
        <v>32</v>
      </c>
      <c r="Z8" s="5" t="s">
        <v>33</v>
      </c>
      <c r="AA8" s="5" t="s">
        <v>34</v>
      </c>
      <c r="AB8" s="5" t="s">
        <v>35</v>
      </c>
      <c r="AC8" s="5" t="s">
        <v>36</v>
      </c>
      <c r="AD8" s="5" t="s">
        <v>37</v>
      </c>
    </row>
    <row r="9" spans="1:30" ht="37.5" hidden="1" x14ac:dyDescent="0.25">
      <c r="A9" s="6">
        <v>1000</v>
      </c>
      <c r="B9" s="7" t="s">
        <v>38</v>
      </c>
      <c r="C9" s="7" t="s">
        <v>39</v>
      </c>
      <c r="D9" s="8">
        <v>0.11</v>
      </c>
      <c r="E9" s="7" t="s">
        <v>40</v>
      </c>
      <c r="F9" s="7" t="str">
        <f>RIGHT(E9,3)</f>
        <v>WK1</v>
      </c>
      <c r="G9" s="8">
        <v>0</v>
      </c>
      <c r="H9" s="8">
        <v>0</v>
      </c>
      <c r="I9" s="8">
        <v>0</v>
      </c>
      <c r="J9" s="8">
        <v>0</v>
      </c>
      <c r="K9" s="8">
        <v>0</v>
      </c>
      <c r="L9" s="8">
        <v>0</v>
      </c>
      <c r="M9" s="8">
        <v>0</v>
      </c>
      <c r="N9" s="8">
        <v>0</v>
      </c>
      <c r="O9" s="8">
        <v>1</v>
      </c>
      <c r="P9" s="8">
        <v>1</v>
      </c>
      <c r="Q9" s="8">
        <v>1</v>
      </c>
      <c r="R9" s="8">
        <v>1</v>
      </c>
      <c r="S9" s="8">
        <v>1</v>
      </c>
      <c r="T9" s="8">
        <v>1</v>
      </c>
      <c r="U9" s="8">
        <v>1</v>
      </c>
      <c r="V9" s="8">
        <v>1</v>
      </c>
      <c r="W9" s="8">
        <v>1</v>
      </c>
      <c r="X9" s="8">
        <v>1</v>
      </c>
      <c r="Y9" s="8">
        <v>0</v>
      </c>
      <c r="Z9" s="8">
        <v>0</v>
      </c>
      <c r="AA9" s="8">
        <v>0</v>
      </c>
      <c r="AB9" s="8">
        <v>0</v>
      </c>
      <c r="AC9" s="8">
        <v>0</v>
      </c>
      <c r="AD9" s="8">
        <v>0</v>
      </c>
    </row>
    <row r="10" spans="1:30" ht="37.5" hidden="1" x14ac:dyDescent="0.25">
      <c r="A10" s="6">
        <v>1001</v>
      </c>
      <c r="B10" s="7" t="s">
        <v>41</v>
      </c>
      <c r="C10" s="7" t="s">
        <v>39</v>
      </c>
      <c r="D10" s="8">
        <v>0.11733333333333337</v>
      </c>
      <c r="E10" s="7" t="s">
        <v>42</v>
      </c>
      <c r="F10" s="7" t="str">
        <f t="shared" ref="F10:F73" si="0">RIGHT(E10,3)</f>
        <v>WK1</v>
      </c>
      <c r="G10" s="8">
        <v>0</v>
      </c>
      <c r="H10" s="8">
        <v>0</v>
      </c>
      <c r="I10" s="8">
        <v>0</v>
      </c>
      <c r="J10" s="8">
        <v>0</v>
      </c>
      <c r="K10" s="8">
        <v>0</v>
      </c>
      <c r="L10" s="8">
        <v>0</v>
      </c>
      <c r="M10" s="8">
        <v>0</v>
      </c>
      <c r="N10" s="8">
        <v>0.25</v>
      </c>
      <c r="O10" s="8">
        <v>0.5</v>
      </c>
      <c r="P10" s="8">
        <v>1</v>
      </c>
      <c r="Q10" s="8">
        <v>1</v>
      </c>
      <c r="R10" s="8">
        <v>1</v>
      </c>
      <c r="S10" s="8">
        <v>0.75</v>
      </c>
      <c r="T10" s="8">
        <v>0.75</v>
      </c>
      <c r="U10" s="8">
        <v>1</v>
      </c>
      <c r="V10" s="8">
        <v>1</v>
      </c>
      <c r="W10" s="8">
        <v>1</v>
      </c>
      <c r="X10" s="8">
        <v>0.5</v>
      </c>
      <c r="Y10" s="8">
        <v>0.25</v>
      </c>
      <c r="Z10" s="8">
        <v>0</v>
      </c>
      <c r="AA10" s="8">
        <v>0</v>
      </c>
      <c r="AB10" s="8">
        <v>0</v>
      </c>
      <c r="AC10" s="8">
        <v>0</v>
      </c>
      <c r="AD10" s="8">
        <v>0</v>
      </c>
    </row>
    <row r="11" spans="1:30" ht="37.5" hidden="1" x14ac:dyDescent="0.25">
      <c r="A11" s="6">
        <v>1002</v>
      </c>
      <c r="B11" s="7" t="s">
        <v>43</v>
      </c>
      <c r="C11" s="7" t="s">
        <v>39</v>
      </c>
      <c r="D11" s="8">
        <v>0.11244444444444444</v>
      </c>
      <c r="E11" s="7" t="s">
        <v>44</v>
      </c>
      <c r="F11" s="7" t="str">
        <f t="shared" si="0"/>
        <v>WK1</v>
      </c>
      <c r="G11" s="8">
        <v>0</v>
      </c>
      <c r="H11" s="8">
        <v>0</v>
      </c>
      <c r="I11" s="8">
        <v>0</v>
      </c>
      <c r="J11" s="8">
        <v>0</v>
      </c>
      <c r="K11" s="8">
        <v>0</v>
      </c>
      <c r="L11" s="8">
        <v>0</v>
      </c>
      <c r="M11" s="8">
        <v>0</v>
      </c>
      <c r="N11" s="8">
        <v>0.25</v>
      </c>
      <c r="O11" s="8">
        <v>0.5</v>
      </c>
      <c r="P11" s="8">
        <v>1</v>
      </c>
      <c r="Q11" s="8">
        <v>1</v>
      </c>
      <c r="R11" s="8">
        <v>1</v>
      </c>
      <c r="S11" s="8">
        <v>0.75</v>
      </c>
      <c r="T11" s="8">
        <v>0.75</v>
      </c>
      <c r="U11" s="8">
        <v>1</v>
      </c>
      <c r="V11" s="8">
        <v>1</v>
      </c>
      <c r="W11" s="8">
        <v>1</v>
      </c>
      <c r="X11" s="8">
        <v>0.5</v>
      </c>
      <c r="Y11" s="8">
        <v>0.25</v>
      </c>
      <c r="Z11" s="8">
        <v>0</v>
      </c>
      <c r="AA11" s="8">
        <v>0</v>
      </c>
      <c r="AB11" s="8">
        <v>0</v>
      </c>
      <c r="AC11" s="8">
        <v>0</v>
      </c>
      <c r="AD11" s="8">
        <v>0</v>
      </c>
    </row>
    <row r="12" spans="1:30" ht="37.5" hidden="1" x14ac:dyDescent="0.25">
      <c r="A12" s="6">
        <v>1003</v>
      </c>
      <c r="B12" s="7" t="s">
        <v>45</v>
      </c>
      <c r="C12" s="7" t="s">
        <v>39</v>
      </c>
      <c r="D12" s="8">
        <v>0.10083333333333333</v>
      </c>
      <c r="E12" s="7" t="s">
        <v>46</v>
      </c>
      <c r="F12" s="7" t="str">
        <f t="shared" si="0"/>
        <v>WK1</v>
      </c>
      <c r="G12" s="8">
        <v>0</v>
      </c>
      <c r="H12" s="8">
        <v>0</v>
      </c>
      <c r="I12" s="8">
        <v>0</v>
      </c>
      <c r="J12" s="8">
        <v>0</v>
      </c>
      <c r="K12" s="8">
        <v>0</v>
      </c>
      <c r="L12" s="8">
        <v>0</v>
      </c>
      <c r="M12" s="8">
        <v>0</v>
      </c>
      <c r="N12" s="8">
        <v>0.25</v>
      </c>
      <c r="O12" s="8">
        <v>0.5</v>
      </c>
      <c r="P12" s="8">
        <v>1</v>
      </c>
      <c r="Q12" s="8">
        <v>1</v>
      </c>
      <c r="R12" s="8">
        <v>1</v>
      </c>
      <c r="S12" s="8">
        <v>0.75</v>
      </c>
      <c r="T12" s="8">
        <v>0.75</v>
      </c>
      <c r="U12" s="8">
        <v>1</v>
      </c>
      <c r="V12" s="8">
        <v>1</v>
      </c>
      <c r="W12" s="8">
        <v>1</v>
      </c>
      <c r="X12" s="8">
        <v>0.5</v>
      </c>
      <c r="Y12" s="8">
        <v>0.25</v>
      </c>
      <c r="Z12" s="8">
        <v>0</v>
      </c>
      <c r="AA12" s="8">
        <v>0</v>
      </c>
      <c r="AB12" s="8">
        <v>0</v>
      </c>
      <c r="AC12" s="8">
        <v>0</v>
      </c>
      <c r="AD12" s="8">
        <v>0</v>
      </c>
    </row>
    <row r="13" spans="1:30" ht="37.5" hidden="1" x14ac:dyDescent="0.25">
      <c r="A13" s="6">
        <v>1004</v>
      </c>
      <c r="B13" s="7" t="s">
        <v>47</v>
      </c>
      <c r="C13" s="7" t="s">
        <v>39</v>
      </c>
      <c r="D13" s="8">
        <v>0.11</v>
      </c>
      <c r="E13" s="7" t="s">
        <v>48</v>
      </c>
      <c r="F13" s="7" t="str">
        <f t="shared" si="0"/>
        <v>WK1</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row>
    <row r="14" spans="1:30" ht="37.5" hidden="1" x14ac:dyDescent="0.25">
      <c r="A14" s="6">
        <v>1005</v>
      </c>
      <c r="B14" s="7" t="s">
        <v>49</v>
      </c>
      <c r="C14" s="7" t="s">
        <v>39</v>
      </c>
      <c r="D14" s="8">
        <v>0.111</v>
      </c>
      <c r="E14" s="7" t="s">
        <v>50</v>
      </c>
      <c r="F14" s="7" t="str">
        <f t="shared" si="0"/>
        <v>WK1</v>
      </c>
      <c r="G14" s="8">
        <v>0</v>
      </c>
      <c r="H14" s="8">
        <v>0</v>
      </c>
      <c r="I14" s="8">
        <v>0</v>
      </c>
      <c r="J14" s="8">
        <v>0</v>
      </c>
      <c r="K14" s="8">
        <v>0</v>
      </c>
      <c r="L14" s="8">
        <v>0</v>
      </c>
      <c r="M14" s="8">
        <v>0</v>
      </c>
      <c r="N14" s="8">
        <v>0.25</v>
      </c>
      <c r="O14" s="8">
        <v>0.5</v>
      </c>
      <c r="P14" s="8">
        <v>1</v>
      </c>
      <c r="Q14" s="8">
        <v>1</v>
      </c>
      <c r="R14" s="8">
        <v>1</v>
      </c>
      <c r="S14" s="8">
        <v>0.75</v>
      </c>
      <c r="T14" s="8">
        <v>0.75</v>
      </c>
      <c r="U14" s="8">
        <v>1</v>
      </c>
      <c r="V14" s="8">
        <v>1</v>
      </c>
      <c r="W14" s="8">
        <v>1</v>
      </c>
      <c r="X14" s="8">
        <v>0.5</v>
      </c>
      <c r="Y14" s="8">
        <v>0.25</v>
      </c>
      <c r="Z14" s="8">
        <v>0</v>
      </c>
      <c r="AA14" s="8">
        <v>0</v>
      </c>
      <c r="AB14" s="8">
        <v>0</v>
      </c>
      <c r="AC14" s="8">
        <v>0</v>
      </c>
      <c r="AD14" s="8">
        <v>0</v>
      </c>
    </row>
    <row r="15" spans="1:30" ht="37.5" hidden="1" x14ac:dyDescent="0.25">
      <c r="A15" s="6">
        <v>1006</v>
      </c>
      <c r="B15" s="7" t="s">
        <v>51</v>
      </c>
      <c r="C15" s="7" t="s">
        <v>39</v>
      </c>
      <c r="D15" s="8">
        <v>0.16484848484848486</v>
      </c>
      <c r="E15" s="7" t="s">
        <v>52</v>
      </c>
      <c r="F15" s="7" t="str">
        <f t="shared" si="0"/>
        <v>Wk1</v>
      </c>
      <c r="G15" s="8">
        <v>0</v>
      </c>
      <c r="H15" s="8">
        <v>0</v>
      </c>
      <c r="I15" s="8">
        <v>0</v>
      </c>
      <c r="J15" s="8">
        <v>0</v>
      </c>
      <c r="K15" s="8">
        <v>0</v>
      </c>
      <c r="L15" s="8">
        <v>0</v>
      </c>
      <c r="M15" s="8">
        <v>0.25</v>
      </c>
      <c r="N15" s="8">
        <v>1</v>
      </c>
      <c r="O15" s="8">
        <v>1</v>
      </c>
      <c r="P15" s="8">
        <v>0.25</v>
      </c>
      <c r="Q15" s="8">
        <v>0</v>
      </c>
      <c r="R15" s="8">
        <v>0.25</v>
      </c>
      <c r="S15" s="8">
        <v>1</v>
      </c>
      <c r="T15" s="8">
        <v>1</v>
      </c>
      <c r="U15" s="8">
        <v>0.5</v>
      </c>
      <c r="V15" s="8">
        <v>0</v>
      </c>
      <c r="W15" s="8">
        <v>0</v>
      </c>
      <c r="X15" s="8">
        <v>0.5</v>
      </c>
      <c r="Y15" s="8">
        <v>1</v>
      </c>
      <c r="Z15" s="8">
        <v>1</v>
      </c>
      <c r="AA15" s="8">
        <v>0.5</v>
      </c>
      <c r="AB15" s="8">
        <v>0</v>
      </c>
      <c r="AC15" s="8">
        <v>0</v>
      </c>
      <c r="AD15" s="8">
        <v>0</v>
      </c>
    </row>
    <row r="16" spans="1:30" ht="37.5" hidden="1" x14ac:dyDescent="0.25">
      <c r="A16" s="6">
        <v>1007</v>
      </c>
      <c r="B16" s="7" t="s">
        <v>53</v>
      </c>
      <c r="C16" s="7" t="s">
        <v>39</v>
      </c>
      <c r="D16" s="8">
        <v>0.1</v>
      </c>
      <c r="E16" s="7" t="s">
        <v>54</v>
      </c>
      <c r="F16" s="7" t="str">
        <f t="shared" si="0"/>
        <v>WK1</v>
      </c>
      <c r="G16" s="8">
        <v>0</v>
      </c>
      <c r="H16" s="8">
        <v>0</v>
      </c>
      <c r="I16" s="8">
        <v>0</v>
      </c>
      <c r="J16" s="8">
        <v>0</v>
      </c>
      <c r="K16" s="8">
        <v>0</v>
      </c>
      <c r="L16" s="8">
        <v>0</v>
      </c>
      <c r="M16" s="8">
        <v>0</v>
      </c>
      <c r="N16" s="8">
        <v>1</v>
      </c>
      <c r="O16" s="8">
        <v>1</v>
      </c>
      <c r="P16" s="8">
        <v>1</v>
      </c>
      <c r="Q16" s="8">
        <v>1</v>
      </c>
      <c r="R16" s="8">
        <v>1</v>
      </c>
      <c r="S16" s="8">
        <v>1</v>
      </c>
      <c r="T16" s="8">
        <v>1</v>
      </c>
      <c r="U16" s="8">
        <v>1</v>
      </c>
      <c r="V16" s="8">
        <v>1</v>
      </c>
      <c r="W16" s="8">
        <v>1</v>
      </c>
      <c r="X16" s="8">
        <v>1</v>
      </c>
      <c r="Y16" s="8">
        <v>1</v>
      </c>
      <c r="Z16" s="8">
        <v>1</v>
      </c>
      <c r="AA16" s="8">
        <v>0</v>
      </c>
      <c r="AB16" s="8">
        <v>0</v>
      </c>
      <c r="AC16" s="8">
        <v>0</v>
      </c>
      <c r="AD16" s="8">
        <v>0</v>
      </c>
    </row>
    <row r="17" spans="1:30" ht="37.5" hidden="1" x14ac:dyDescent="0.25">
      <c r="A17" s="6">
        <v>1008</v>
      </c>
      <c r="B17" s="7" t="s">
        <v>55</v>
      </c>
      <c r="C17" s="7" t="s">
        <v>39</v>
      </c>
      <c r="D17" s="8">
        <v>0.10803571428571428</v>
      </c>
      <c r="E17" s="7" t="s">
        <v>56</v>
      </c>
      <c r="F17" s="7" t="str">
        <f t="shared" si="0"/>
        <v>WK1</v>
      </c>
      <c r="G17" s="8">
        <v>0</v>
      </c>
      <c r="H17" s="8">
        <v>0</v>
      </c>
      <c r="I17" s="8">
        <v>0</v>
      </c>
      <c r="J17" s="8">
        <v>0</v>
      </c>
      <c r="K17" s="8">
        <v>0</v>
      </c>
      <c r="L17" s="8">
        <v>0</v>
      </c>
      <c r="M17" s="8">
        <v>0.25</v>
      </c>
      <c r="N17" s="8">
        <v>0.75</v>
      </c>
      <c r="O17" s="8">
        <v>1</v>
      </c>
      <c r="P17" s="8">
        <v>1</v>
      </c>
      <c r="Q17" s="8">
        <v>1</v>
      </c>
      <c r="R17" s="8">
        <v>1</v>
      </c>
      <c r="S17" s="8">
        <v>1</v>
      </c>
      <c r="T17" s="8">
        <v>1</v>
      </c>
      <c r="U17" s="8">
        <v>0.75</v>
      </c>
      <c r="V17" s="8">
        <v>0.25</v>
      </c>
      <c r="W17" s="8">
        <v>0.25</v>
      </c>
      <c r="X17" s="8">
        <v>0.75</v>
      </c>
      <c r="Y17" s="8">
        <v>1</v>
      </c>
      <c r="Z17" s="8">
        <v>1</v>
      </c>
      <c r="AA17" s="8">
        <v>1</v>
      </c>
      <c r="AB17" s="8">
        <v>1</v>
      </c>
      <c r="AC17" s="8">
        <v>0.75</v>
      </c>
      <c r="AD17" s="8">
        <v>0.25</v>
      </c>
    </row>
    <row r="18" spans="1:30" ht="37.5" x14ac:dyDescent="0.25">
      <c r="A18" s="6">
        <v>1009</v>
      </c>
      <c r="B18" s="7" t="s">
        <v>57</v>
      </c>
      <c r="C18" s="7" t="s">
        <v>39</v>
      </c>
      <c r="D18" s="8">
        <v>0.28888888886666669</v>
      </c>
      <c r="E18" s="7" t="s">
        <v>58</v>
      </c>
      <c r="F18" s="7" t="str">
        <f t="shared" si="0"/>
        <v>WK1</v>
      </c>
      <c r="G18" s="8">
        <v>0</v>
      </c>
      <c r="H18" s="8">
        <v>0</v>
      </c>
      <c r="I18" s="8">
        <v>0</v>
      </c>
      <c r="J18" s="8">
        <v>0</v>
      </c>
      <c r="K18" s="8">
        <v>0</v>
      </c>
      <c r="L18" s="8">
        <v>0</v>
      </c>
      <c r="M18" s="8">
        <v>0</v>
      </c>
      <c r="N18" s="8">
        <v>0</v>
      </c>
      <c r="O18" s="8">
        <v>0</v>
      </c>
      <c r="P18" s="8">
        <v>0</v>
      </c>
      <c r="Q18" s="8">
        <v>0</v>
      </c>
      <c r="R18" s="8">
        <v>0.25</v>
      </c>
      <c r="S18" s="8">
        <v>1</v>
      </c>
      <c r="T18" s="8">
        <v>1</v>
      </c>
      <c r="U18" s="8">
        <v>0.75</v>
      </c>
      <c r="V18" s="8">
        <v>0</v>
      </c>
      <c r="W18" s="8">
        <v>0</v>
      </c>
      <c r="X18" s="8">
        <v>0</v>
      </c>
      <c r="Y18" s="8">
        <v>0</v>
      </c>
      <c r="Z18" s="8">
        <v>0</v>
      </c>
      <c r="AA18" s="8">
        <v>0</v>
      </c>
      <c r="AB18" s="8">
        <v>0</v>
      </c>
      <c r="AC18" s="8">
        <v>0</v>
      </c>
      <c r="AD18" s="8">
        <v>0</v>
      </c>
    </row>
    <row r="19" spans="1:30" ht="37.5" hidden="1" x14ac:dyDescent="0.25">
      <c r="A19" s="6">
        <v>1010</v>
      </c>
      <c r="B19" s="7" t="s">
        <v>59</v>
      </c>
      <c r="C19" s="7" t="s">
        <v>39</v>
      </c>
      <c r="D19" s="8">
        <v>6.8055555555555564E-2</v>
      </c>
      <c r="E19" s="7" t="s">
        <v>60</v>
      </c>
      <c r="F19" s="7" t="str">
        <f t="shared" si="0"/>
        <v>Wk1</v>
      </c>
      <c r="G19" s="8">
        <v>0</v>
      </c>
      <c r="H19" s="8">
        <v>0</v>
      </c>
      <c r="I19" s="8">
        <v>0</v>
      </c>
      <c r="J19" s="8">
        <v>0</v>
      </c>
      <c r="K19" s="8">
        <v>0</v>
      </c>
      <c r="L19" s="8">
        <v>0</v>
      </c>
      <c r="M19" s="8">
        <v>0</v>
      </c>
      <c r="N19" s="8">
        <v>0.25</v>
      </c>
      <c r="O19" s="8">
        <v>0.5</v>
      </c>
      <c r="P19" s="8">
        <v>1</v>
      </c>
      <c r="Q19" s="8">
        <v>1</v>
      </c>
      <c r="R19" s="8">
        <v>1</v>
      </c>
      <c r="S19" s="8">
        <v>0.75</v>
      </c>
      <c r="T19" s="8">
        <v>0.75</v>
      </c>
      <c r="U19" s="8">
        <v>1</v>
      </c>
      <c r="V19" s="8">
        <v>1</v>
      </c>
      <c r="W19" s="8">
        <v>1</v>
      </c>
      <c r="X19" s="8">
        <v>0.5</v>
      </c>
      <c r="Y19" s="8">
        <v>0.25</v>
      </c>
      <c r="Z19" s="8">
        <v>0</v>
      </c>
      <c r="AA19" s="8">
        <v>0</v>
      </c>
      <c r="AB19" s="8">
        <v>0</v>
      </c>
      <c r="AC19" s="8">
        <v>0</v>
      </c>
      <c r="AD19" s="8">
        <v>0</v>
      </c>
    </row>
    <row r="20" spans="1:30" ht="37.5" hidden="1" x14ac:dyDescent="0.25">
      <c r="A20" s="6">
        <v>1012</v>
      </c>
      <c r="B20" s="7" t="s">
        <v>61</v>
      </c>
      <c r="C20" s="7" t="s">
        <v>62</v>
      </c>
      <c r="D20" s="8">
        <v>0.12466666666666666</v>
      </c>
      <c r="E20" s="7" t="s">
        <v>63</v>
      </c>
      <c r="F20" s="7" t="str">
        <f t="shared" si="0"/>
        <v>Wk1</v>
      </c>
      <c r="G20" s="8">
        <v>0</v>
      </c>
      <c r="H20" s="8">
        <v>0</v>
      </c>
      <c r="I20" s="8">
        <v>0</v>
      </c>
      <c r="J20" s="8">
        <v>0</v>
      </c>
      <c r="K20" s="8">
        <v>0</v>
      </c>
      <c r="L20" s="8">
        <v>0</v>
      </c>
      <c r="M20" s="8">
        <v>0</v>
      </c>
      <c r="N20" s="8">
        <v>0.25</v>
      </c>
      <c r="O20" s="8">
        <v>0.5</v>
      </c>
      <c r="P20" s="8">
        <v>1</v>
      </c>
      <c r="Q20" s="8">
        <v>1</v>
      </c>
      <c r="R20" s="8">
        <v>1</v>
      </c>
      <c r="S20" s="8">
        <v>0.75</v>
      </c>
      <c r="T20" s="8">
        <v>0.75</v>
      </c>
      <c r="U20" s="8">
        <v>1</v>
      </c>
      <c r="V20" s="8">
        <v>1</v>
      </c>
      <c r="W20" s="8">
        <v>1</v>
      </c>
      <c r="X20" s="8">
        <v>0.5</v>
      </c>
      <c r="Y20" s="8">
        <v>0.25</v>
      </c>
      <c r="Z20" s="8">
        <v>0</v>
      </c>
      <c r="AA20" s="8">
        <v>0</v>
      </c>
      <c r="AB20" s="8">
        <v>0</v>
      </c>
      <c r="AC20" s="8">
        <v>0</v>
      </c>
      <c r="AD20" s="8">
        <v>0</v>
      </c>
    </row>
    <row r="21" spans="1:30" ht="37.5" hidden="1" x14ac:dyDescent="0.25">
      <c r="A21" s="6">
        <v>1013</v>
      </c>
      <c r="B21" s="7" t="s">
        <v>64</v>
      </c>
      <c r="C21" s="7" t="s">
        <v>65</v>
      </c>
      <c r="D21" s="8">
        <v>0.18333333333333329</v>
      </c>
      <c r="E21" s="7" t="s">
        <v>66</v>
      </c>
      <c r="F21" s="7" t="str">
        <f t="shared" si="0"/>
        <v>WK1</v>
      </c>
      <c r="G21" s="8">
        <v>0</v>
      </c>
      <c r="H21" s="8">
        <v>0</v>
      </c>
      <c r="I21" s="8">
        <v>0</v>
      </c>
      <c r="J21" s="8">
        <v>0</v>
      </c>
      <c r="K21" s="8">
        <v>0</v>
      </c>
      <c r="L21" s="8">
        <v>0</v>
      </c>
      <c r="M21" s="8">
        <v>0</v>
      </c>
      <c r="N21" s="8">
        <v>0</v>
      </c>
      <c r="O21" s="8">
        <v>0</v>
      </c>
      <c r="P21" s="8">
        <v>1</v>
      </c>
      <c r="Q21" s="8">
        <v>1</v>
      </c>
      <c r="R21" s="8">
        <v>1</v>
      </c>
      <c r="S21" s="8">
        <v>1</v>
      </c>
      <c r="T21" s="8">
        <v>1</v>
      </c>
      <c r="U21" s="8">
        <v>1</v>
      </c>
      <c r="V21" s="8">
        <v>1</v>
      </c>
      <c r="W21" s="8">
        <v>1</v>
      </c>
      <c r="X21" s="8">
        <v>1</v>
      </c>
      <c r="Y21" s="8">
        <v>1</v>
      </c>
      <c r="Z21" s="8">
        <v>1</v>
      </c>
      <c r="AA21" s="8">
        <v>1</v>
      </c>
      <c r="AB21" s="8">
        <v>0</v>
      </c>
      <c r="AC21" s="8">
        <v>0</v>
      </c>
      <c r="AD21" s="8">
        <v>0</v>
      </c>
    </row>
    <row r="22" spans="1:30" ht="37.5" hidden="1" x14ac:dyDescent="0.25">
      <c r="A22" s="6">
        <v>1014</v>
      </c>
      <c r="B22" s="7" t="s">
        <v>67</v>
      </c>
      <c r="C22" s="7" t="s">
        <v>65</v>
      </c>
      <c r="D22" s="8">
        <v>9.4432653061224503E-2</v>
      </c>
      <c r="E22" s="7" t="s">
        <v>68</v>
      </c>
      <c r="F22" s="7" t="str">
        <f t="shared" si="0"/>
        <v>WK1</v>
      </c>
      <c r="G22" s="8">
        <v>1</v>
      </c>
      <c r="H22" s="8">
        <v>1</v>
      </c>
      <c r="I22" s="8">
        <v>1</v>
      </c>
      <c r="J22" s="8">
        <v>1</v>
      </c>
      <c r="K22" s="8">
        <v>1</v>
      </c>
      <c r="L22" s="8">
        <v>1</v>
      </c>
      <c r="M22" s="8">
        <v>1</v>
      </c>
      <c r="N22" s="8">
        <v>0.5</v>
      </c>
      <c r="O22" s="8">
        <v>0.25</v>
      </c>
      <c r="P22" s="8">
        <v>0</v>
      </c>
      <c r="Q22" s="8">
        <v>0</v>
      </c>
      <c r="R22" s="8">
        <v>0</v>
      </c>
      <c r="S22" s="8">
        <v>0</v>
      </c>
      <c r="T22" s="8">
        <v>0</v>
      </c>
      <c r="U22" s="8">
        <v>0</v>
      </c>
      <c r="V22" s="8">
        <v>0</v>
      </c>
      <c r="W22" s="8">
        <v>0</v>
      </c>
      <c r="X22" s="8">
        <v>0</v>
      </c>
      <c r="Y22" s="8">
        <v>0</v>
      </c>
      <c r="Z22" s="8">
        <v>0</v>
      </c>
      <c r="AA22" s="8">
        <v>0</v>
      </c>
      <c r="AB22" s="8">
        <v>0</v>
      </c>
      <c r="AC22" s="8">
        <v>0.25</v>
      </c>
      <c r="AD22" s="8">
        <v>0.75</v>
      </c>
    </row>
    <row r="23" spans="1:30" ht="37.5" hidden="1" x14ac:dyDescent="0.25">
      <c r="A23" s="6">
        <v>1015</v>
      </c>
      <c r="B23" s="7" t="s">
        <v>53</v>
      </c>
      <c r="C23" s="7" t="s">
        <v>65</v>
      </c>
      <c r="D23" s="8">
        <v>0.11905263157894741</v>
      </c>
      <c r="E23" s="7" t="s">
        <v>69</v>
      </c>
      <c r="F23" s="7" t="str">
        <f t="shared" si="0"/>
        <v>WK1</v>
      </c>
      <c r="G23" s="8">
        <v>0</v>
      </c>
      <c r="H23" s="8">
        <v>0</v>
      </c>
      <c r="I23" s="8">
        <v>0</v>
      </c>
      <c r="J23" s="8">
        <v>0</v>
      </c>
      <c r="K23" s="8">
        <v>0</v>
      </c>
      <c r="L23" s="8">
        <v>0</v>
      </c>
      <c r="M23" s="8">
        <v>0</v>
      </c>
      <c r="N23" s="8">
        <v>0</v>
      </c>
      <c r="O23" s="8">
        <v>0</v>
      </c>
      <c r="P23" s="8">
        <v>1</v>
      </c>
      <c r="Q23" s="8">
        <v>1</v>
      </c>
      <c r="R23" s="8">
        <v>1</v>
      </c>
      <c r="S23" s="8">
        <v>1</v>
      </c>
      <c r="T23" s="8">
        <v>1</v>
      </c>
      <c r="U23" s="8">
        <v>1</v>
      </c>
      <c r="V23" s="8">
        <v>1</v>
      </c>
      <c r="W23" s="8">
        <v>1</v>
      </c>
      <c r="X23" s="8">
        <v>1</v>
      </c>
      <c r="Y23" s="8">
        <v>1</v>
      </c>
      <c r="Z23" s="8">
        <v>1</v>
      </c>
      <c r="AA23" s="8">
        <v>1</v>
      </c>
      <c r="AB23" s="8">
        <v>0</v>
      </c>
      <c r="AC23" s="8">
        <v>0</v>
      </c>
      <c r="AD23" s="8">
        <v>0</v>
      </c>
    </row>
    <row r="24" spans="1:30" ht="37.5" hidden="1" x14ac:dyDescent="0.25">
      <c r="A24" s="6">
        <v>1016</v>
      </c>
      <c r="B24" s="7" t="s">
        <v>41</v>
      </c>
      <c r="C24" s="7" t="s">
        <v>65</v>
      </c>
      <c r="D24" s="8">
        <v>0.11472392638036813</v>
      </c>
      <c r="E24" s="7" t="s">
        <v>70</v>
      </c>
      <c r="F24" s="7" t="str">
        <f t="shared" si="0"/>
        <v>WK1</v>
      </c>
      <c r="G24" s="8">
        <v>0</v>
      </c>
      <c r="H24" s="8">
        <v>0</v>
      </c>
      <c r="I24" s="8">
        <v>0</v>
      </c>
      <c r="J24" s="8">
        <v>0</v>
      </c>
      <c r="K24" s="8">
        <v>0</v>
      </c>
      <c r="L24" s="8">
        <v>0</v>
      </c>
      <c r="M24" s="8">
        <v>0</v>
      </c>
      <c r="N24" s="8">
        <v>1</v>
      </c>
      <c r="O24" s="8">
        <v>1</v>
      </c>
      <c r="P24" s="8">
        <v>1</v>
      </c>
      <c r="Q24" s="8">
        <v>1</v>
      </c>
      <c r="R24" s="8">
        <v>1</v>
      </c>
      <c r="S24" s="8">
        <v>1</v>
      </c>
      <c r="T24" s="8">
        <v>1</v>
      </c>
      <c r="U24" s="8">
        <v>1</v>
      </c>
      <c r="V24" s="8">
        <v>1</v>
      </c>
      <c r="W24" s="8">
        <v>1</v>
      </c>
      <c r="X24" s="8">
        <v>1</v>
      </c>
      <c r="Y24" s="8">
        <v>1</v>
      </c>
      <c r="Z24" s="8">
        <v>1</v>
      </c>
      <c r="AA24" s="8">
        <v>1</v>
      </c>
      <c r="AB24" s="8">
        <v>1</v>
      </c>
      <c r="AC24" s="8">
        <v>1</v>
      </c>
      <c r="AD24" s="8">
        <v>0.3</v>
      </c>
    </row>
    <row r="25" spans="1:30" ht="37.5" hidden="1" x14ac:dyDescent="0.25">
      <c r="A25" s="6">
        <v>1017</v>
      </c>
      <c r="B25" s="7" t="s">
        <v>55</v>
      </c>
      <c r="C25" s="7" t="s">
        <v>65</v>
      </c>
      <c r="D25" s="8">
        <v>0.10803571428571428</v>
      </c>
      <c r="E25" s="7" t="s">
        <v>71</v>
      </c>
      <c r="F25" s="7" t="str">
        <f t="shared" si="0"/>
        <v>WK1</v>
      </c>
      <c r="G25" s="8">
        <v>0</v>
      </c>
      <c r="H25" s="8">
        <v>0</v>
      </c>
      <c r="I25" s="8">
        <v>0</v>
      </c>
      <c r="J25" s="8">
        <v>0</v>
      </c>
      <c r="K25" s="8">
        <v>0</v>
      </c>
      <c r="L25" s="8">
        <v>0</v>
      </c>
      <c r="M25" s="8">
        <v>0.25</v>
      </c>
      <c r="N25" s="8">
        <v>0.75</v>
      </c>
      <c r="O25" s="8">
        <v>1</v>
      </c>
      <c r="P25" s="8">
        <v>1</v>
      </c>
      <c r="Q25" s="8">
        <v>1</v>
      </c>
      <c r="R25" s="8">
        <v>1</v>
      </c>
      <c r="S25" s="8">
        <v>1</v>
      </c>
      <c r="T25" s="8">
        <v>1</v>
      </c>
      <c r="U25" s="8">
        <v>0.75</v>
      </c>
      <c r="V25" s="8">
        <v>0.25</v>
      </c>
      <c r="W25" s="8">
        <v>0.25</v>
      </c>
      <c r="X25" s="8">
        <v>0.75</v>
      </c>
      <c r="Y25" s="8">
        <v>1</v>
      </c>
      <c r="Z25" s="8">
        <v>1</v>
      </c>
      <c r="AA25" s="8">
        <v>1</v>
      </c>
      <c r="AB25" s="8">
        <v>1</v>
      </c>
      <c r="AC25" s="8">
        <v>0.75</v>
      </c>
      <c r="AD25" s="8">
        <v>0.25</v>
      </c>
    </row>
    <row r="26" spans="1:30" ht="37.5" x14ac:dyDescent="0.25">
      <c r="A26" s="6">
        <v>1018</v>
      </c>
      <c r="B26" s="7" t="s">
        <v>57</v>
      </c>
      <c r="C26" s="7" t="s">
        <v>65</v>
      </c>
      <c r="D26" s="8">
        <v>0.18738738737297292</v>
      </c>
      <c r="E26" s="7" t="s">
        <v>72</v>
      </c>
      <c r="F26" s="7" t="str">
        <f t="shared" si="0"/>
        <v>WK1</v>
      </c>
      <c r="G26" s="8">
        <v>0</v>
      </c>
      <c r="H26" s="8">
        <v>0</v>
      </c>
      <c r="I26" s="8">
        <v>0</v>
      </c>
      <c r="J26" s="8">
        <v>0</v>
      </c>
      <c r="K26" s="8">
        <v>0</v>
      </c>
      <c r="L26" s="8">
        <v>0</v>
      </c>
      <c r="M26" s="8">
        <v>0</v>
      </c>
      <c r="N26" s="8">
        <v>0.25</v>
      </c>
      <c r="O26" s="8">
        <v>0.25</v>
      </c>
      <c r="P26" s="8">
        <v>0.5</v>
      </c>
      <c r="Q26" s="8">
        <v>0.5</v>
      </c>
      <c r="R26" s="8">
        <v>0.5</v>
      </c>
      <c r="S26" s="8">
        <v>1</v>
      </c>
      <c r="T26" s="8">
        <v>1</v>
      </c>
      <c r="U26" s="8">
        <v>0.5</v>
      </c>
      <c r="V26" s="8">
        <v>0.25</v>
      </c>
      <c r="W26" s="8">
        <v>0.25</v>
      </c>
      <c r="X26" s="8">
        <v>0.25</v>
      </c>
      <c r="Y26" s="8">
        <v>0.5</v>
      </c>
      <c r="Z26" s="8">
        <v>1</v>
      </c>
      <c r="AA26" s="8">
        <v>1</v>
      </c>
      <c r="AB26" s="8">
        <v>1</v>
      </c>
      <c r="AC26" s="8">
        <v>0.5</v>
      </c>
      <c r="AD26" s="8">
        <v>0</v>
      </c>
    </row>
    <row r="27" spans="1:30" ht="37.5" hidden="1" x14ac:dyDescent="0.25">
      <c r="A27" s="6">
        <v>1019</v>
      </c>
      <c r="B27" s="7" t="s">
        <v>51</v>
      </c>
      <c r="C27" s="7" t="s">
        <v>65</v>
      </c>
      <c r="D27" s="8">
        <v>0.14017543861960524</v>
      </c>
      <c r="E27" s="7" t="s">
        <v>73</v>
      </c>
      <c r="F27" s="7" t="str">
        <f t="shared" si="0"/>
        <v>Wk1</v>
      </c>
      <c r="G27" s="8">
        <v>0</v>
      </c>
      <c r="H27" s="8">
        <v>0</v>
      </c>
      <c r="I27" s="8">
        <v>0</v>
      </c>
      <c r="J27" s="8">
        <v>0</v>
      </c>
      <c r="K27" s="8">
        <v>0</v>
      </c>
      <c r="L27" s="8">
        <v>0</v>
      </c>
      <c r="M27" s="8">
        <v>0</v>
      </c>
      <c r="N27" s="8">
        <v>0</v>
      </c>
      <c r="O27" s="8">
        <v>0</v>
      </c>
      <c r="P27" s="8">
        <v>1</v>
      </c>
      <c r="Q27" s="8">
        <v>1</v>
      </c>
      <c r="R27" s="8">
        <v>1</v>
      </c>
      <c r="S27" s="8">
        <v>1</v>
      </c>
      <c r="T27" s="8">
        <v>1</v>
      </c>
      <c r="U27" s="8">
        <v>1</v>
      </c>
      <c r="V27" s="8">
        <v>1</v>
      </c>
      <c r="W27" s="8">
        <v>1</v>
      </c>
      <c r="X27" s="8">
        <v>1</v>
      </c>
      <c r="Y27" s="8">
        <v>1</v>
      </c>
      <c r="Z27" s="8">
        <v>1</v>
      </c>
      <c r="AA27" s="8">
        <v>1</v>
      </c>
      <c r="AB27" s="8">
        <v>0</v>
      </c>
      <c r="AC27" s="8">
        <v>0</v>
      </c>
      <c r="AD27" s="8">
        <v>0</v>
      </c>
    </row>
    <row r="28" spans="1:30" ht="37.5" hidden="1" x14ac:dyDescent="0.25">
      <c r="A28" s="6">
        <v>1020</v>
      </c>
      <c r="B28" s="7" t="s">
        <v>61</v>
      </c>
      <c r="C28" s="7" t="s">
        <v>65</v>
      </c>
      <c r="D28" s="8">
        <v>0.12100000000000005</v>
      </c>
      <c r="E28" s="7" t="s">
        <v>74</v>
      </c>
      <c r="F28" s="7" t="str">
        <f t="shared" si="0"/>
        <v>Wk1</v>
      </c>
      <c r="G28" s="8">
        <v>0</v>
      </c>
      <c r="H28" s="8">
        <v>0</v>
      </c>
      <c r="I28" s="8">
        <v>0</v>
      </c>
      <c r="J28" s="8">
        <v>0</v>
      </c>
      <c r="K28" s="8">
        <v>0</v>
      </c>
      <c r="L28" s="8">
        <v>0</v>
      </c>
      <c r="M28" s="8">
        <v>0</v>
      </c>
      <c r="N28" s="8">
        <v>0</v>
      </c>
      <c r="O28" s="8">
        <v>1</v>
      </c>
      <c r="P28" s="8">
        <v>1</v>
      </c>
      <c r="Q28" s="8">
        <v>1</v>
      </c>
      <c r="R28" s="8">
        <v>1</v>
      </c>
      <c r="S28" s="8">
        <v>1</v>
      </c>
      <c r="T28" s="8">
        <v>1</v>
      </c>
      <c r="U28" s="8">
        <v>1</v>
      </c>
      <c r="V28" s="8">
        <v>1</v>
      </c>
      <c r="W28" s="8">
        <v>1</v>
      </c>
      <c r="X28" s="8">
        <v>1</v>
      </c>
      <c r="Y28" s="8">
        <v>0</v>
      </c>
      <c r="Z28" s="8">
        <v>0</v>
      </c>
      <c r="AA28" s="8">
        <v>0</v>
      </c>
      <c r="AB28" s="8">
        <v>0</v>
      </c>
      <c r="AC28" s="8">
        <v>0</v>
      </c>
      <c r="AD28" s="8">
        <v>0</v>
      </c>
    </row>
    <row r="29" spans="1:30" ht="37.5" hidden="1" x14ac:dyDescent="0.25">
      <c r="A29" s="6">
        <v>1021</v>
      </c>
      <c r="B29" s="7" t="s">
        <v>47</v>
      </c>
      <c r="C29" s="7" t="s">
        <v>65</v>
      </c>
      <c r="D29" s="8">
        <v>0.11</v>
      </c>
      <c r="E29" s="7" t="s">
        <v>75</v>
      </c>
      <c r="F29" s="7" t="str">
        <f t="shared" si="0"/>
        <v>WK1</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8">
        <v>0</v>
      </c>
      <c r="AA29" s="8">
        <v>0</v>
      </c>
      <c r="AB29" s="8">
        <v>0</v>
      </c>
      <c r="AC29" s="8">
        <v>0</v>
      </c>
      <c r="AD29" s="8">
        <v>0</v>
      </c>
    </row>
    <row r="30" spans="1:30" ht="37.5" hidden="1" x14ac:dyDescent="0.25">
      <c r="A30" s="6">
        <v>1022</v>
      </c>
      <c r="B30" s="7" t="s">
        <v>45</v>
      </c>
      <c r="C30" s="7" t="s">
        <v>65</v>
      </c>
      <c r="D30" s="8">
        <v>0.10460122699386505</v>
      </c>
      <c r="E30" s="7" t="s">
        <v>76</v>
      </c>
      <c r="F30" s="7" t="str">
        <f t="shared" si="0"/>
        <v>WK1</v>
      </c>
      <c r="G30" s="8">
        <v>0</v>
      </c>
      <c r="H30" s="8">
        <v>0</v>
      </c>
      <c r="I30" s="8">
        <v>0</v>
      </c>
      <c r="J30" s="8">
        <v>0</v>
      </c>
      <c r="K30" s="8">
        <v>0</v>
      </c>
      <c r="L30" s="8">
        <v>0</v>
      </c>
      <c r="M30" s="8">
        <v>0</v>
      </c>
      <c r="N30" s="8">
        <v>1</v>
      </c>
      <c r="O30" s="8">
        <v>1</v>
      </c>
      <c r="P30" s="8">
        <v>1</v>
      </c>
      <c r="Q30" s="8">
        <v>1</v>
      </c>
      <c r="R30" s="8">
        <v>1</v>
      </c>
      <c r="S30" s="8">
        <v>1</v>
      </c>
      <c r="T30" s="8">
        <v>1</v>
      </c>
      <c r="U30" s="8">
        <v>1</v>
      </c>
      <c r="V30" s="8">
        <v>1</v>
      </c>
      <c r="W30" s="8">
        <v>1</v>
      </c>
      <c r="X30" s="8">
        <v>1</v>
      </c>
      <c r="Y30" s="8">
        <v>1</v>
      </c>
      <c r="Z30" s="8">
        <v>1</v>
      </c>
      <c r="AA30" s="8">
        <v>1</v>
      </c>
      <c r="AB30" s="8">
        <v>1</v>
      </c>
      <c r="AC30" s="8">
        <v>1</v>
      </c>
      <c r="AD30" s="8">
        <v>0.3</v>
      </c>
    </row>
    <row r="31" spans="1:30" ht="37.5" hidden="1" x14ac:dyDescent="0.25">
      <c r="A31" s="6">
        <v>1023</v>
      </c>
      <c r="B31" s="7" t="s">
        <v>43</v>
      </c>
      <c r="C31" s="7" t="s">
        <v>65</v>
      </c>
      <c r="D31" s="8">
        <v>0.11785714285714285</v>
      </c>
      <c r="E31" s="7" t="s">
        <v>77</v>
      </c>
      <c r="F31" s="7" t="str">
        <f t="shared" si="0"/>
        <v>WK1</v>
      </c>
      <c r="G31" s="8">
        <v>0</v>
      </c>
      <c r="H31" s="8">
        <v>0</v>
      </c>
      <c r="I31" s="8">
        <v>0</v>
      </c>
      <c r="J31" s="8">
        <v>0</v>
      </c>
      <c r="K31" s="8">
        <v>0</v>
      </c>
      <c r="L31" s="8">
        <v>0</v>
      </c>
      <c r="M31" s="8">
        <v>0</v>
      </c>
      <c r="N31" s="8">
        <v>1</v>
      </c>
      <c r="O31" s="8">
        <v>1</v>
      </c>
      <c r="P31" s="8">
        <v>1</v>
      </c>
      <c r="Q31" s="8">
        <v>1</v>
      </c>
      <c r="R31" s="8">
        <v>1</v>
      </c>
      <c r="S31" s="8">
        <v>1</v>
      </c>
      <c r="T31" s="8">
        <v>1</v>
      </c>
      <c r="U31" s="8">
        <v>1</v>
      </c>
      <c r="V31" s="8">
        <v>1</v>
      </c>
      <c r="W31" s="8">
        <v>1</v>
      </c>
      <c r="X31" s="8">
        <v>1</v>
      </c>
      <c r="Y31" s="8">
        <v>1</v>
      </c>
      <c r="Z31" s="8">
        <v>1</v>
      </c>
      <c r="AA31" s="8">
        <v>1</v>
      </c>
      <c r="AB31" s="8">
        <v>0</v>
      </c>
      <c r="AC31" s="8">
        <v>0</v>
      </c>
      <c r="AD31" s="8">
        <v>0</v>
      </c>
    </row>
    <row r="32" spans="1:30" ht="37.5" hidden="1" x14ac:dyDescent="0.25">
      <c r="A32" s="6">
        <v>1024</v>
      </c>
      <c r="B32" s="7" t="s">
        <v>78</v>
      </c>
      <c r="C32" s="7" t="s">
        <v>65</v>
      </c>
      <c r="D32" s="8">
        <v>0.13954166666666665</v>
      </c>
      <c r="E32" s="7" t="s">
        <v>79</v>
      </c>
      <c r="F32" s="7" t="str">
        <f t="shared" si="0"/>
        <v>WK1</v>
      </c>
      <c r="G32" s="8">
        <v>0</v>
      </c>
      <c r="H32" s="8">
        <v>0</v>
      </c>
      <c r="I32" s="8">
        <v>0</v>
      </c>
      <c r="J32" s="8">
        <v>0</v>
      </c>
      <c r="K32" s="8">
        <v>0</v>
      </c>
      <c r="L32" s="8">
        <v>0</v>
      </c>
      <c r="M32" s="8">
        <v>0</v>
      </c>
      <c r="N32" s="8">
        <v>0</v>
      </c>
      <c r="O32" s="8">
        <v>0</v>
      </c>
      <c r="P32" s="8">
        <v>1</v>
      </c>
      <c r="Q32" s="8">
        <v>1</v>
      </c>
      <c r="R32" s="8">
        <v>1</v>
      </c>
      <c r="S32" s="8">
        <v>1</v>
      </c>
      <c r="T32" s="8">
        <v>1</v>
      </c>
      <c r="U32" s="8">
        <v>1</v>
      </c>
      <c r="V32" s="8">
        <v>1</v>
      </c>
      <c r="W32" s="8">
        <v>1</v>
      </c>
      <c r="X32" s="8">
        <v>1</v>
      </c>
      <c r="Y32" s="8">
        <v>1</v>
      </c>
      <c r="Z32" s="8">
        <v>1</v>
      </c>
      <c r="AA32" s="8">
        <v>1</v>
      </c>
      <c r="AB32" s="8">
        <v>0</v>
      </c>
      <c r="AC32" s="8">
        <v>0</v>
      </c>
      <c r="AD32" s="8">
        <v>0</v>
      </c>
    </row>
    <row r="33" spans="1:30" ht="37.5" hidden="1" x14ac:dyDescent="0.25">
      <c r="A33" s="6">
        <v>1025</v>
      </c>
      <c r="B33" s="7" t="s">
        <v>80</v>
      </c>
      <c r="C33" s="7" t="s">
        <v>65</v>
      </c>
      <c r="D33" s="8">
        <v>4.1228070182236828E-2</v>
      </c>
      <c r="E33" s="7" t="s">
        <v>81</v>
      </c>
      <c r="F33" s="7" t="str">
        <f t="shared" si="0"/>
        <v>WK1</v>
      </c>
      <c r="G33" s="8">
        <v>0</v>
      </c>
      <c r="H33" s="8">
        <v>0</v>
      </c>
      <c r="I33" s="8">
        <v>0</v>
      </c>
      <c r="J33" s="8">
        <v>0</v>
      </c>
      <c r="K33" s="8">
        <v>0</v>
      </c>
      <c r="L33" s="8">
        <v>0</v>
      </c>
      <c r="M33" s="8">
        <v>0</v>
      </c>
      <c r="N33" s="8">
        <v>0</v>
      </c>
      <c r="O33" s="8">
        <v>0</v>
      </c>
      <c r="P33" s="8">
        <v>1</v>
      </c>
      <c r="Q33" s="8">
        <v>1</v>
      </c>
      <c r="R33" s="8">
        <v>1</v>
      </c>
      <c r="S33" s="8">
        <v>1</v>
      </c>
      <c r="T33" s="8">
        <v>1</v>
      </c>
      <c r="U33" s="8">
        <v>1</v>
      </c>
      <c r="V33" s="8">
        <v>1</v>
      </c>
      <c r="W33" s="8">
        <v>1</v>
      </c>
      <c r="X33" s="8">
        <v>1</v>
      </c>
      <c r="Y33" s="8">
        <v>1</v>
      </c>
      <c r="Z33" s="8">
        <v>1</v>
      </c>
      <c r="AA33" s="8">
        <v>1</v>
      </c>
      <c r="AB33" s="8">
        <v>0</v>
      </c>
      <c r="AC33" s="8">
        <v>0</v>
      </c>
      <c r="AD33" s="8">
        <v>0</v>
      </c>
    </row>
    <row r="34" spans="1:30" ht="37.5" hidden="1" x14ac:dyDescent="0.25">
      <c r="A34" s="6">
        <v>1026</v>
      </c>
      <c r="B34" s="7" t="s">
        <v>38</v>
      </c>
      <c r="C34" s="7" t="s">
        <v>65</v>
      </c>
      <c r="D34" s="8">
        <v>0.11</v>
      </c>
      <c r="E34" s="7" t="s">
        <v>82</v>
      </c>
      <c r="F34" s="7" t="str">
        <f t="shared" si="0"/>
        <v>WK1</v>
      </c>
      <c r="G34" s="8">
        <v>0</v>
      </c>
      <c r="H34" s="8">
        <v>0</v>
      </c>
      <c r="I34" s="8">
        <v>0</v>
      </c>
      <c r="J34" s="8">
        <v>0</v>
      </c>
      <c r="K34" s="8">
        <v>0</v>
      </c>
      <c r="L34" s="8">
        <v>0</v>
      </c>
      <c r="M34" s="8">
        <v>0</v>
      </c>
      <c r="N34" s="8">
        <v>1</v>
      </c>
      <c r="O34" s="8">
        <v>1</v>
      </c>
      <c r="P34" s="8">
        <v>1</v>
      </c>
      <c r="Q34" s="8">
        <v>1</v>
      </c>
      <c r="R34" s="8">
        <v>1</v>
      </c>
      <c r="S34" s="8">
        <v>1</v>
      </c>
      <c r="T34" s="8">
        <v>1</v>
      </c>
      <c r="U34" s="8">
        <v>1</v>
      </c>
      <c r="V34" s="8">
        <v>1</v>
      </c>
      <c r="W34" s="8">
        <v>1</v>
      </c>
      <c r="X34" s="8">
        <v>1</v>
      </c>
      <c r="Y34" s="8">
        <v>1</v>
      </c>
      <c r="Z34" s="8">
        <v>1</v>
      </c>
      <c r="AA34" s="8">
        <v>1</v>
      </c>
      <c r="AB34" s="8">
        <v>0</v>
      </c>
      <c r="AC34" s="8">
        <v>0</v>
      </c>
      <c r="AD34" s="8">
        <v>0</v>
      </c>
    </row>
    <row r="35" spans="1:30" ht="37.5" hidden="1" x14ac:dyDescent="0.25">
      <c r="A35" s="6">
        <v>1028</v>
      </c>
      <c r="B35" s="7" t="s">
        <v>49</v>
      </c>
      <c r="C35" s="7" t="s">
        <v>65</v>
      </c>
      <c r="D35" s="8">
        <v>0.10606666666666666</v>
      </c>
      <c r="E35" s="7" t="s">
        <v>83</v>
      </c>
      <c r="F35" s="7" t="str">
        <f t="shared" si="0"/>
        <v>WK1</v>
      </c>
      <c r="G35" s="8">
        <v>0</v>
      </c>
      <c r="H35" s="8">
        <v>0</v>
      </c>
      <c r="I35" s="8">
        <v>0</v>
      </c>
      <c r="J35" s="8">
        <v>0</v>
      </c>
      <c r="K35" s="8">
        <v>0</v>
      </c>
      <c r="L35" s="8">
        <v>0</v>
      </c>
      <c r="M35" s="8">
        <v>0</v>
      </c>
      <c r="N35" s="8">
        <v>0.25</v>
      </c>
      <c r="O35" s="8">
        <v>0.5</v>
      </c>
      <c r="P35" s="8">
        <v>1</v>
      </c>
      <c r="Q35" s="8">
        <v>1</v>
      </c>
      <c r="R35" s="8">
        <v>1</v>
      </c>
      <c r="S35" s="8">
        <v>0.75</v>
      </c>
      <c r="T35" s="8">
        <v>0.75</v>
      </c>
      <c r="U35" s="8">
        <v>1</v>
      </c>
      <c r="V35" s="8">
        <v>1</v>
      </c>
      <c r="W35" s="8">
        <v>1</v>
      </c>
      <c r="X35" s="8">
        <v>0.5</v>
      </c>
      <c r="Y35" s="8">
        <v>0.25</v>
      </c>
      <c r="Z35" s="8">
        <v>0</v>
      </c>
      <c r="AA35" s="8">
        <v>0</v>
      </c>
      <c r="AB35" s="8">
        <v>0</v>
      </c>
      <c r="AC35" s="8">
        <v>0</v>
      </c>
      <c r="AD35" s="8">
        <v>0</v>
      </c>
    </row>
    <row r="36" spans="1:30" ht="50" hidden="1" x14ac:dyDescent="0.25">
      <c r="A36" s="6">
        <v>1029</v>
      </c>
      <c r="B36" s="7" t="s">
        <v>84</v>
      </c>
      <c r="C36" s="7" t="s">
        <v>85</v>
      </c>
      <c r="D36" s="8">
        <v>0.12763963964756755</v>
      </c>
      <c r="E36" s="7" t="s">
        <v>86</v>
      </c>
      <c r="F36" s="7" t="str">
        <f t="shared" si="0"/>
        <v>WK1</v>
      </c>
      <c r="G36" s="8">
        <v>0</v>
      </c>
      <c r="H36" s="8">
        <v>0</v>
      </c>
      <c r="I36" s="8">
        <v>0</v>
      </c>
      <c r="J36" s="8">
        <v>0</v>
      </c>
      <c r="K36" s="8">
        <v>0</v>
      </c>
      <c r="L36" s="8">
        <v>0</v>
      </c>
      <c r="M36" s="8">
        <v>0</v>
      </c>
      <c r="N36" s="8">
        <v>0.25</v>
      </c>
      <c r="O36" s="8">
        <v>0.25</v>
      </c>
      <c r="P36" s="8">
        <v>0.5</v>
      </c>
      <c r="Q36" s="8">
        <v>0.5</v>
      </c>
      <c r="R36" s="8">
        <v>0.5</v>
      </c>
      <c r="S36" s="8">
        <v>1</v>
      </c>
      <c r="T36" s="8">
        <v>1</v>
      </c>
      <c r="U36" s="8">
        <v>0.5</v>
      </c>
      <c r="V36" s="8">
        <v>0.25</v>
      </c>
      <c r="W36" s="8">
        <v>0.25</v>
      </c>
      <c r="X36" s="8">
        <v>0.25</v>
      </c>
      <c r="Y36" s="8">
        <v>0.5</v>
      </c>
      <c r="Z36" s="8">
        <v>1</v>
      </c>
      <c r="AA36" s="8">
        <v>1</v>
      </c>
      <c r="AB36" s="8">
        <v>1</v>
      </c>
      <c r="AC36" s="8">
        <v>0.5</v>
      </c>
      <c r="AD36" s="8">
        <v>0</v>
      </c>
    </row>
    <row r="37" spans="1:30" ht="37.5" x14ac:dyDescent="0.25">
      <c r="A37" s="6">
        <v>1030</v>
      </c>
      <c r="B37" s="7" t="s">
        <v>57</v>
      </c>
      <c r="C37" s="7" t="s">
        <v>85</v>
      </c>
      <c r="D37" s="8">
        <v>0.2</v>
      </c>
      <c r="E37" s="7" t="s">
        <v>87</v>
      </c>
      <c r="F37" s="7" t="str">
        <f t="shared" si="0"/>
        <v>WK1</v>
      </c>
      <c r="G37" s="8">
        <v>0</v>
      </c>
      <c r="H37" s="8">
        <v>0</v>
      </c>
      <c r="I37" s="8">
        <v>0</v>
      </c>
      <c r="J37" s="8">
        <v>0</v>
      </c>
      <c r="K37" s="8">
        <v>0</v>
      </c>
      <c r="L37" s="8">
        <v>0</v>
      </c>
      <c r="M37" s="8">
        <v>0</v>
      </c>
      <c r="N37" s="8">
        <v>0.25</v>
      </c>
      <c r="O37" s="8">
        <v>0.25</v>
      </c>
      <c r="P37" s="8">
        <v>0.5</v>
      </c>
      <c r="Q37" s="8">
        <v>0.5</v>
      </c>
      <c r="R37" s="8">
        <v>0.5</v>
      </c>
      <c r="S37" s="8">
        <v>1</v>
      </c>
      <c r="T37" s="8">
        <v>1</v>
      </c>
      <c r="U37" s="8">
        <v>0.5</v>
      </c>
      <c r="V37" s="8">
        <v>0.25</v>
      </c>
      <c r="W37" s="8">
        <v>0.25</v>
      </c>
      <c r="X37" s="8">
        <v>0.25</v>
      </c>
      <c r="Y37" s="8">
        <v>0.5</v>
      </c>
      <c r="Z37" s="8">
        <v>1</v>
      </c>
      <c r="AA37" s="8">
        <v>1</v>
      </c>
      <c r="AB37" s="8">
        <v>1</v>
      </c>
      <c r="AC37" s="8">
        <v>0.5</v>
      </c>
      <c r="AD37" s="8">
        <v>0</v>
      </c>
    </row>
    <row r="38" spans="1:30" ht="50" hidden="1" x14ac:dyDescent="0.25">
      <c r="A38" s="6">
        <v>1031</v>
      </c>
      <c r="B38" s="7" t="s">
        <v>55</v>
      </c>
      <c r="C38" s="7" t="s">
        <v>85</v>
      </c>
      <c r="D38" s="8">
        <v>0.11</v>
      </c>
      <c r="E38" s="7" t="s">
        <v>88</v>
      </c>
      <c r="F38" s="7" t="str">
        <f t="shared" si="0"/>
        <v>WK1</v>
      </c>
      <c r="G38" s="8">
        <v>0</v>
      </c>
      <c r="H38" s="8">
        <v>0</v>
      </c>
      <c r="I38" s="8">
        <v>0</v>
      </c>
      <c r="J38" s="8">
        <v>0</v>
      </c>
      <c r="K38" s="8">
        <v>0</v>
      </c>
      <c r="L38" s="8">
        <v>0</v>
      </c>
      <c r="M38" s="8">
        <v>0.25</v>
      </c>
      <c r="N38" s="8">
        <v>0.75</v>
      </c>
      <c r="O38" s="8">
        <v>1</v>
      </c>
      <c r="P38" s="8">
        <v>1</v>
      </c>
      <c r="Q38" s="8">
        <v>1</v>
      </c>
      <c r="R38" s="8">
        <v>1</v>
      </c>
      <c r="S38" s="8">
        <v>1</v>
      </c>
      <c r="T38" s="8">
        <v>1</v>
      </c>
      <c r="U38" s="8">
        <v>0.75</v>
      </c>
      <c r="V38" s="8">
        <v>0.25</v>
      </c>
      <c r="W38" s="8">
        <v>0.25</v>
      </c>
      <c r="X38" s="8">
        <v>0.75</v>
      </c>
      <c r="Y38" s="8">
        <v>1</v>
      </c>
      <c r="Z38" s="8">
        <v>1</v>
      </c>
      <c r="AA38" s="8">
        <v>1</v>
      </c>
      <c r="AB38" s="8">
        <v>1</v>
      </c>
      <c r="AC38" s="8">
        <v>0.75</v>
      </c>
      <c r="AD38" s="8">
        <v>0.25</v>
      </c>
    </row>
    <row r="39" spans="1:30" ht="37.5" hidden="1" x14ac:dyDescent="0.25">
      <c r="A39" s="6">
        <v>1032</v>
      </c>
      <c r="B39" s="7" t="s">
        <v>38</v>
      </c>
      <c r="C39" s="7" t="s">
        <v>85</v>
      </c>
      <c r="D39" s="8">
        <v>0.12375</v>
      </c>
      <c r="E39" s="7" t="s">
        <v>89</v>
      </c>
      <c r="F39" s="7" t="str">
        <f t="shared" si="0"/>
        <v>WK1</v>
      </c>
      <c r="G39" s="8">
        <v>0</v>
      </c>
      <c r="H39" s="8">
        <v>0</v>
      </c>
      <c r="I39" s="8">
        <v>0</v>
      </c>
      <c r="J39" s="8">
        <v>0</v>
      </c>
      <c r="K39" s="8">
        <v>0</v>
      </c>
      <c r="L39" s="8">
        <v>0</v>
      </c>
      <c r="M39" s="8">
        <v>0</v>
      </c>
      <c r="N39" s="8">
        <v>0</v>
      </c>
      <c r="O39" s="8">
        <v>0</v>
      </c>
      <c r="P39" s="8">
        <v>0.75</v>
      </c>
      <c r="Q39" s="8">
        <v>1</v>
      </c>
      <c r="R39" s="8">
        <v>1</v>
      </c>
      <c r="S39" s="8">
        <v>0.75</v>
      </c>
      <c r="T39" s="8">
        <v>0.75</v>
      </c>
      <c r="U39" s="8">
        <v>1</v>
      </c>
      <c r="V39" s="8">
        <v>1</v>
      </c>
      <c r="W39" s="8">
        <v>1</v>
      </c>
      <c r="X39" s="8">
        <v>0.75</v>
      </c>
      <c r="Y39" s="8">
        <v>0</v>
      </c>
      <c r="Z39" s="8">
        <v>0</v>
      </c>
      <c r="AA39" s="8">
        <v>0</v>
      </c>
      <c r="AB39" s="8">
        <v>0</v>
      </c>
      <c r="AC39" s="8">
        <v>0</v>
      </c>
      <c r="AD39" s="8">
        <v>0</v>
      </c>
    </row>
    <row r="40" spans="1:30" ht="37.5" hidden="1" x14ac:dyDescent="0.25">
      <c r="A40" s="6">
        <v>1033</v>
      </c>
      <c r="B40" s="7" t="s">
        <v>90</v>
      </c>
      <c r="C40" s="7" t="s">
        <v>85</v>
      </c>
      <c r="D40" s="8">
        <v>3.5924369747899157E-2</v>
      </c>
      <c r="E40" s="7" t="s">
        <v>91</v>
      </c>
      <c r="F40" s="7" t="str">
        <f t="shared" si="0"/>
        <v>WK1</v>
      </c>
      <c r="G40" s="8">
        <v>0</v>
      </c>
      <c r="H40" s="8">
        <v>0</v>
      </c>
      <c r="I40" s="8">
        <v>0</v>
      </c>
      <c r="J40" s="8">
        <v>0</v>
      </c>
      <c r="K40" s="8">
        <v>0</v>
      </c>
      <c r="L40" s="8">
        <v>0</v>
      </c>
      <c r="M40" s="8">
        <v>0</v>
      </c>
      <c r="N40" s="8">
        <v>0</v>
      </c>
      <c r="O40" s="8">
        <v>0</v>
      </c>
      <c r="P40" s="8">
        <v>0</v>
      </c>
      <c r="Q40" s="8">
        <v>0</v>
      </c>
      <c r="R40" s="8">
        <v>0</v>
      </c>
      <c r="S40" s="8">
        <v>0</v>
      </c>
      <c r="T40" s="8">
        <v>0</v>
      </c>
      <c r="U40" s="8">
        <v>0</v>
      </c>
      <c r="V40" s="8">
        <v>0</v>
      </c>
      <c r="W40" s="8">
        <v>0.5</v>
      </c>
      <c r="X40" s="8">
        <v>0.5</v>
      </c>
      <c r="Y40" s="8">
        <v>1</v>
      </c>
      <c r="Z40" s="8">
        <v>1</v>
      </c>
      <c r="AA40" s="8">
        <v>1</v>
      </c>
      <c r="AB40" s="8">
        <v>1</v>
      </c>
      <c r="AC40" s="8">
        <v>0.66666666699999999</v>
      </c>
      <c r="AD40" s="8">
        <v>0</v>
      </c>
    </row>
    <row r="41" spans="1:30" ht="37.5" hidden="1" x14ac:dyDescent="0.25">
      <c r="A41" s="6">
        <v>1034</v>
      </c>
      <c r="B41" s="7" t="s">
        <v>47</v>
      </c>
      <c r="C41" s="7" t="s">
        <v>85</v>
      </c>
      <c r="D41" s="8">
        <v>0.11</v>
      </c>
      <c r="E41" s="7" t="s">
        <v>92</v>
      </c>
      <c r="F41" s="7" t="str">
        <f t="shared" si="0"/>
        <v>WK1</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row>
    <row r="42" spans="1:30" ht="37.5" hidden="1" x14ac:dyDescent="0.25">
      <c r="A42" s="6">
        <v>1036</v>
      </c>
      <c r="B42" s="7" t="s">
        <v>43</v>
      </c>
      <c r="C42" s="7" t="s">
        <v>85</v>
      </c>
      <c r="D42" s="8">
        <v>8.8404907975460148E-2</v>
      </c>
      <c r="E42" s="7" t="s">
        <v>93</v>
      </c>
      <c r="F42" s="7" t="str">
        <f t="shared" si="0"/>
        <v>WK1</v>
      </c>
      <c r="G42" s="8">
        <v>0</v>
      </c>
      <c r="H42" s="8">
        <v>0</v>
      </c>
      <c r="I42" s="8">
        <v>0</v>
      </c>
      <c r="J42" s="8">
        <v>0</v>
      </c>
      <c r="K42" s="8">
        <v>0</v>
      </c>
      <c r="L42" s="8">
        <v>0</v>
      </c>
      <c r="M42" s="8">
        <v>0</v>
      </c>
      <c r="N42" s="8">
        <v>1</v>
      </c>
      <c r="O42" s="8">
        <v>1</v>
      </c>
      <c r="P42" s="8">
        <v>1</v>
      </c>
      <c r="Q42" s="8">
        <v>1</v>
      </c>
      <c r="R42" s="8">
        <v>1</v>
      </c>
      <c r="S42" s="8">
        <v>1</v>
      </c>
      <c r="T42" s="8">
        <v>1</v>
      </c>
      <c r="U42" s="8">
        <v>1</v>
      </c>
      <c r="V42" s="8">
        <v>1</v>
      </c>
      <c r="W42" s="8">
        <v>1</v>
      </c>
      <c r="X42" s="8">
        <v>1</v>
      </c>
      <c r="Y42" s="8">
        <v>1</v>
      </c>
      <c r="Z42" s="8">
        <v>1</v>
      </c>
      <c r="AA42" s="8">
        <v>1</v>
      </c>
      <c r="AB42" s="8">
        <v>1</v>
      </c>
      <c r="AC42" s="8">
        <v>1</v>
      </c>
      <c r="AD42" s="8">
        <v>0.3</v>
      </c>
    </row>
    <row r="43" spans="1:30" ht="37.5" hidden="1" x14ac:dyDescent="0.25">
      <c r="A43" s="6">
        <v>1038</v>
      </c>
      <c r="B43" s="7" t="s">
        <v>49</v>
      </c>
      <c r="C43" s="7" t="s">
        <v>85</v>
      </c>
      <c r="D43" s="8">
        <v>0.10943661971830985</v>
      </c>
      <c r="E43" s="7" t="s">
        <v>94</v>
      </c>
      <c r="F43" s="7" t="str">
        <f t="shared" si="0"/>
        <v>WK1</v>
      </c>
      <c r="G43" s="8">
        <v>0</v>
      </c>
      <c r="H43" s="8">
        <v>0</v>
      </c>
      <c r="I43" s="8">
        <v>0</v>
      </c>
      <c r="J43" s="8">
        <v>0</v>
      </c>
      <c r="K43" s="8">
        <v>0</v>
      </c>
      <c r="L43" s="8">
        <v>0</v>
      </c>
      <c r="M43" s="8">
        <v>0</v>
      </c>
      <c r="N43" s="8">
        <v>0.1</v>
      </c>
      <c r="O43" s="8">
        <v>0.25</v>
      </c>
      <c r="P43" s="8">
        <v>0.75</v>
      </c>
      <c r="Q43" s="8">
        <v>1</v>
      </c>
      <c r="R43" s="8">
        <v>1</v>
      </c>
      <c r="S43" s="8">
        <v>0.5</v>
      </c>
      <c r="T43" s="8">
        <v>0.5</v>
      </c>
      <c r="U43" s="8">
        <v>1</v>
      </c>
      <c r="V43" s="8">
        <v>1</v>
      </c>
      <c r="W43" s="8">
        <v>0.5</v>
      </c>
      <c r="X43" s="8">
        <v>0.5</v>
      </c>
      <c r="Y43" s="8">
        <v>0</v>
      </c>
      <c r="Z43" s="8">
        <v>0</v>
      </c>
      <c r="AA43" s="8">
        <v>0</v>
      </c>
      <c r="AB43" s="8">
        <v>0</v>
      </c>
      <c r="AC43" s="8">
        <v>0</v>
      </c>
      <c r="AD43" s="8">
        <v>0</v>
      </c>
    </row>
    <row r="44" spans="1:30" ht="37.5" hidden="1" x14ac:dyDescent="0.25">
      <c r="A44" s="6">
        <v>1039</v>
      </c>
      <c r="B44" s="7" t="s">
        <v>41</v>
      </c>
      <c r="C44" s="7" t="s">
        <v>95</v>
      </c>
      <c r="D44" s="8">
        <v>0.12375</v>
      </c>
      <c r="E44" s="7" t="s">
        <v>96</v>
      </c>
      <c r="F44" s="7" t="str">
        <f t="shared" si="0"/>
        <v>WK1</v>
      </c>
      <c r="G44" s="8">
        <v>0</v>
      </c>
      <c r="H44" s="8">
        <v>0</v>
      </c>
      <c r="I44" s="8">
        <v>0</v>
      </c>
      <c r="J44" s="8">
        <v>0</v>
      </c>
      <c r="K44" s="8">
        <v>0</v>
      </c>
      <c r="L44" s="8">
        <v>0</v>
      </c>
      <c r="M44" s="8">
        <v>0</v>
      </c>
      <c r="N44" s="8">
        <v>0</v>
      </c>
      <c r="O44" s="8">
        <v>0</v>
      </c>
      <c r="P44" s="8">
        <v>1</v>
      </c>
      <c r="Q44" s="8">
        <v>1</v>
      </c>
      <c r="R44" s="8">
        <v>1</v>
      </c>
      <c r="S44" s="8">
        <v>1</v>
      </c>
      <c r="T44" s="8">
        <v>1</v>
      </c>
      <c r="U44" s="8">
        <v>1</v>
      </c>
      <c r="V44" s="8">
        <v>1</v>
      </c>
      <c r="W44" s="8">
        <v>1</v>
      </c>
      <c r="X44" s="8">
        <v>0</v>
      </c>
      <c r="Y44" s="8">
        <v>0</v>
      </c>
      <c r="Z44" s="8">
        <v>0</v>
      </c>
      <c r="AA44" s="8">
        <v>0</v>
      </c>
      <c r="AB44" s="8">
        <v>0</v>
      </c>
      <c r="AC44" s="8">
        <v>0</v>
      </c>
      <c r="AD44" s="8">
        <v>0</v>
      </c>
    </row>
    <row r="45" spans="1:30" ht="37.5" x14ac:dyDescent="0.25">
      <c r="A45" s="6">
        <v>1040</v>
      </c>
      <c r="B45" s="7" t="s">
        <v>57</v>
      </c>
      <c r="C45" s="7" t="s">
        <v>95</v>
      </c>
      <c r="D45" s="8">
        <v>0.17777777773333334</v>
      </c>
      <c r="E45" s="7" t="s">
        <v>97</v>
      </c>
      <c r="F45" s="7" t="str">
        <f t="shared" si="0"/>
        <v>WK1</v>
      </c>
      <c r="G45" s="8">
        <v>0</v>
      </c>
      <c r="H45" s="8">
        <v>0</v>
      </c>
      <c r="I45" s="8">
        <v>0</v>
      </c>
      <c r="J45" s="8">
        <v>0</v>
      </c>
      <c r="K45" s="8">
        <v>0</v>
      </c>
      <c r="L45" s="8">
        <v>0</v>
      </c>
      <c r="M45" s="8">
        <v>0</v>
      </c>
      <c r="N45" s="8">
        <v>0</v>
      </c>
      <c r="O45" s="8">
        <v>0</v>
      </c>
      <c r="P45" s="8">
        <v>0</v>
      </c>
      <c r="Q45" s="8">
        <v>0</v>
      </c>
      <c r="R45" s="8">
        <v>0.25</v>
      </c>
      <c r="S45" s="8">
        <v>1</v>
      </c>
      <c r="T45" s="8">
        <v>1</v>
      </c>
      <c r="U45" s="8">
        <v>0.75</v>
      </c>
      <c r="V45" s="8">
        <v>0</v>
      </c>
      <c r="W45" s="8">
        <v>0</v>
      </c>
      <c r="X45" s="8">
        <v>0</v>
      </c>
      <c r="Y45" s="8">
        <v>0</v>
      </c>
      <c r="Z45" s="8">
        <v>0</v>
      </c>
      <c r="AA45" s="8">
        <v>0</v>
      </c>
      <c r="AB45" s="8">
        <v>0</v>
      </c>
      <c r="AC45" s="8">
        <v>0</v>
      </c>
      <c r="AD45" s="8">
        <v>0</v>
      </c>
    </row>
    <row r="46" spans="1:30" ht="37.5" hidden="1" x14ac:dyDescent="0.25">
      <c r="A46" s="6">
        <v>1041</v>
      </c>
      <c r="B46" s="7" t="s">
        <v>55</v>
      </c>
      <c r="C46" s="7" t="s">
        <v>95</v>
      </c>
      <c r="D46" s="8">
        <v>0.2126666666666667</v>
      </c>
      <c r="E46" s="7" t="s">
        <v>98</v>
      </c>
      <c r="F46" s="7" t="str">
        <f t="shared" si="0"/>
        <v>WK1</v>
      </c>
      <c r="G46" s="8">
        <v>0</v>
      </c>
      <c r="H46" s="8">
        <v>0</v>
      </c>
      <c r="I46" s="8">
        <v>0</v>
      </c>
      <c r="J46" s="8">
        <v>0</v>
      </c>
      <c r="K46" s="8">
        <v>0</v>
      </c>
      <c r="L46" s="8">
        <v>0</v>
      </c>
      <c r="M46" s="8">
        <v>0</v>
      </c>
      <c r="N46" s="8">
        <v>0</v>
      </c>
      <c r="O46" s="8">
        <v>0</v>
      </c>
      <c r="P46" s="8">
        <v>0</v>
      </c>
      <c r="Q46" s="8">
        <v>0</v>
      </c>
      <c r="R46" s="8">
        <v>0.25</v>
      </c>
      <c r="S46" s="8">
        <v>1</v>
      </c>
      <c r="T46" s="8">
        <v>1</v>
      </c>
      <c r="U46" s="8">
        <v>0.75</v>
      </c>
      <c r="V46" s="8">
        <v>0</v>
      </c>
      <c r="W46" s="8">
        <v>0</v>
      </c>
      <c r="X46" s="8">
        <v>0</v>
      </c>
      <c r="Y46" s="8">
        <v>0</v>
      </c>
      <c r="Z46" s="8">
        <v>0</v>
      </c>
      <c r="AA46" s="8">
        <v>0</v>
      </c>
      <c r="AB46" s="8">
        <v>0</v>
      </c>
      <c r="AC46" s="8">
        <v>0</v>
      </c>
      <c r="AD46" s="8">
        <v>0</v>
      </c>
    </row>
    <row r="47" spans="1:30" ht="37.5" hidden="1" x14ac:dyDescent="0.25">
      <c r="A47" s="6">
        <v>1042</v>
      </c>
      <c r="B47" s="7" t="s">
        <v>99</v>
      </c>
      <c r="C47" s="7" t="s">
        <v>95</v>
      </c>
      <c r="D47" s="8">
        <v>2.2459016393442617E-2</v>
      </c>
      <c r="E47" s="7" t="s">
        <v>100</v>
      </c>
      <c r="F47" s="7" t="str">
        <f t="shared" si="0"/>
        <v>Wk1</v>
      </c>
      <c r="G47" s="8">
        <v>0</v>
      </c>
      <c r="H47" s="8">
        <v>0</v>
      </c>
      <c r="I47" s="8">
        <v>0</v>
      </c>
      <c r="J47" s="8">
        <v>0</v>
      </c>
      <c r="K47" s="8">
        <v>0</v>
      </c>
      <c r="L47" s="8">
        <v>0</v>
      </c>
      <c r="M47" s="8">
        <v>0</v>
      </c>
      <c r="N47" s="8">
        <v>0.25</v>
      </c>
      <c r="O47" s="8">
        <v>0.5</v>
      </c>
      <c r="P47" s="8">
        <v>1</v>
      </c>
      <c r="Q47" s="8">
        <v>1</v>
      </c>
      <c r="R47" s="8">
        <v>1</v>
      </c>
      <c r="S47" s="8">
        <v>0.75</v>
      </c>
      <c r="T47" s="8">
        <v>0.75</v>
      </c>
      <c r="U47" s="8">
        <v>1</v>
      </c>
      <c r="V47" s="8">
        <v>1</v>
      </c>
      <c r="W47" s="8">
        <v>1</v>
      </c>
      <c r="X47" s="8">
        <v>0.5</v>
      </c>
      <c r="Y47" s="8">
        <v>0.25</v>
      </c>
      <c r="Z47" s="8">
        <v>0</v>
      </c>
      <c r="AA47" s="8">
        <v>0</v>
      </c>
      <c r="AB47" s="8">
        <v>0</v>
      </c>
      <c r="AC47" s="8">
        <v>0</v>
      </c>
      <c r="AD47" s="8">
        <v>0</v>
      </c>
    </row>
    <row r="48" spans="1:30" ht="37.5" hidden="1" x14ac:dyDescent="0.25">
      <c r="A48" s="6">
        <v>1043</v>
      </c>
      <c r="B48" s="7" t="s">
        <v>101</v>
      </c>
      <c r="C48" s="7" t="s">
        <v>95</v>
      </c>
      <c r="D48" s="8">
        <v>0.10694444444444444</v>
      </c>
      <c r="E48" s="7" t="s">
        <v>102</v>
      </c>
      <c r="F48" s="7" t="str">
        <f t="shared" si="0"/>
        <v>WK1</v>
      </c>
      <c r="G48" s="8">
        <v>0</v>
      </c>
      <c r="H48" s="8">
        <v>0</v>
      </c>
      <c r="I48" s="8">
        <v>0</v>
      </c>
      <c r="J48" s="8">
        <v>0</v>
      </c>
      <c r="K48" s="8">
        <v>0</v>
      </c>
      <c r="L48" s="8">
        <v>0</v>
      </c>
      <c r="M48" s="8">
        <v>0</v>
      </c>
      <c r="N48" s="8">
        <v>0.25</v>
      </c>
      <c r="O48" s="8">
        <v>0.5</v>
      </c>
      <c r="P48" s="8">
        <v>1</v>
      </c>
      <c r="Q48" s="8">
        <v>1</v>
      </c>
      <c r="R48" s="8">
        <v>1</v>
      </c>
      <c r="S48" s="8">
        <v>0.75</v>
      </c>
      <c r="T48" s="8">
        <v>0.75</v>
      </c>
      <c r="U48" s="8">
        <v>1</v>
      </c>
      <c r="V48" s="8">
        <v>1</v>
      </c>
      <c r="W48" s="8">
        <v>1</v>
      </c>
      <c r="X48" s="8">
        <v>0.5</v>
      </c>
      <c r="Y48" s="8">
        <v>0.25</v>
      </c>
      <c r="Z48" s="8">
        <v>0</v>
      </c>
      <c r="AA48" s="8">
        <v>0</v>
      </c>
      <c r="AB48" s="8">
        <v>0</v>
      </c>
      <c r="AC48" s="8">
        <v>0</v>
      </c>
      <c r="AD48" s="8">
        <v>0</v>
      </c>
    </row>
    <row r="49" spans="1:30" ht="37.5" hidden="1" x14ac:dyDescent="0.25">
      <c r="A49" s="6">
        <v>1044</v>
      </c>
      <c r="B49" s="7" t="s">
        <v>47</v>
      </c>
      <c r="C49" s="7" t="s">
        <v>95</v>
      </c>
      <c r="D49" s="8">
        <v>0.11</v>
      </c>
      <c r="E49" s="7" t="s">
        <v>103</v>
      </c>
      <c r="F49" s="7" t="str">
        <f t="shared" si="0"/>
        <v>WK1</v>
      </c>
      <c r="G49" s="8">
        <v>0</v>
      </c>
      <c r="H49" s="8">
        <v>0</v>
      </c>
      <c r="I49" s="8">
        <v>0</v>
      </c>
      <c r="J49" s="8">
        <v>0</v>
      </c>
      <c r="K49" s="8">
        <v>0</v>
      </c>
      <c r="L49" s="8">
        <v>0</v>
      </c>
      <c r="M49" s="8">
        <v>0</v>
      </c>
      <c r="N49" s="8">
        <v>0</v>
      </c>
      <c r="O49" s="8">
        <v>0</v>
      </c>
      <c r="P49" s="8">
        <v>0</v>
      </c>
      <c r="Q49" s="8">
        <v>0</v>
      </c>
      <c r="R49" s="8">
        <v>0</v>
      </c>
      <c r="S49" s="8">
        <v>0</v>
      </c>
      <c r="T49" s="8">
        <v>0</v>
      </c>
      <c r="U49" s="8">
        <v>0</v>
      </c>
      <c r="V49" s="8">
        <v>0</v>
      </c>
      <c r="W49" s="8">
        <v>0</v>
      </c>
      <c r="X49" s="8">
        <v>0</v>
      </c>
      <c r="Y49" s="8">
        <v>0</v>
      </c>
      <c r="Z49" s="8">
        <v>0</v>
      </c>
      <c r="AA49" s="8">
        <v>0</v>
      </c>
      <c r="AB49" s="8">
        <v>0</v>
      </c>
      <c r="AC49" s="8">
        <v>0</v>
      </c>
      <c r="AD49" s="8">
        <v>0</v>
      </c>
    </row>
    <row r="50" spans="1:30" ht="37.5" hidden="1" x14ac:dyDescent="0.25">
      <c r="A50" s="6">
        <v>1045</v>
      </c>
      <c r="B50" s="7" t="s">
        <v>45</v>
      </c>
      <c r="C50" s="7" t="s">
        <v>95</v>
      </c>
      <c r="D50" s="8">
        <v>0.11</v>
      </c>
      <c r="E50" s="7" t="s">
        <v>104</v>
      </c>
      <c r="F50" s="7" t="str">
        <f t="shared" si="0"/>
        <v>WK1</v>
      </c>
      <c r="G50" s="8">
        <v>0</v>
      </c>
      <c r="H50" s="8">
        <v>0</v>
      </c>
      <c r="I50" s="8">
        <v>0</v>
      </c>
      <c r="J50" s="8">
        <v>0</v>
      </c>
      <c r="K50" s="8">
        <v>0</v>
      </c>
      <c r="L50" s="8">
        <v>0</v>
      </c>
      <c r="M50" s="8">
        <v>0</v>
      </c>
      <c r="N50" s="8">
        <v>0</v>
      </c>
      <c r="O50" s="8">
        <v>0</v>
      </c>
      <c r="P50" s="8">
        <v>1</v>
      </c>
      <c r="Q50" s="8">
        <v>1</v>
      </c>
      <c r="R50" s="8">
        <v>1</v>
      </c>
      <c r="S50" s="8">
        <v>1</v>
      </c>
      <c r="T50" s="8">
        <v>1</v>
      </c>
      <c r="U50" s="8">
        <v>1</v>
      </c>
      <c r="V50" s="8">
        <v>1</v>
      </c>
      <c r="W50" s="8">
        <v>1</v>
      </c>
      <c r="X50" s="8">
        <v>0</v>
      </c>
      <c r="Y50" s="8">
        <v>0</v>
      </c>
      <c r="Z50" s="8">
        <v>0</v>
      </c>
      <c r="AA50" s="8">
        <v>0</v>
      </c>
      <c r="AB50" s="8">
        <v>0</v>
      </c>
      <c r="AC50" s="8">
        <v>0</v>
      </c>
      <c r="AD50" s="8">
        <v>0</v>
      </c>
    </row>
    <row r="51" spans="1:30" ht="37.5" hidden="1" x14ac:dyDescent="0.25">
      <c r="A51" s="6">
        <v>1046</v>
      </c>
      <c r="B51" s="7" t="s">
        <v>38</v>
      </c>
      <c r="C51" s="7" t="s">
        <v>95</v>
      </c>
      <c r="D51" s="8">
        <v>0.12375</v>
      </c>
      <c r="E51" s="7" t="s">
        <v>105</v>
      </c>
      <c r="F51" s="7" t="str">
        <f t="shared" si="0"/>
        <v>WK1</v>
      </c>
      <c r="G51" s="8">
        <v>0</v>
      </c>
      <c r="H51" s="8">
        <v>0</v>
      </c>
      <c r="I51" s="8">
        <v>0</v>
      </c>
      <c r="J51" s="8">
        <v>0</v>
      </c>
      <c r="K51" s="8">
        <v>0</v>
      </c>
      <c r="L51" s="8">
        <v>0</v>
      </c>
      <c r="M51" s="8">
        <v>0</v>
      </c>
      <c r="N51" s="8">
        <v>0</v>
      </c>
      <c r="O51" s="8">
        <v>0</v>
      </c>
      <c r="P51" s="8">
        <v>1</v>
      </c>
      <c r="Q51" s="8">
        <v>1</v>
      </c>
      <c r="R51" s="8">
        <v>1</v>
      </c>
      <c r="S51" s="8">
        <v>1</v>
      </c>
      <c r="T51" s="8">
        <v>1</v>
      </c>
      <c r="U51" s="8">
        <v>1</v>
      </c>
      <c r="V51" s="8">
        <v>1</v>
      </c>
      <c r="W51" s="8">
        <v>1</v>
      </c>
      <c r="X51" s="8">
        <v>0</v>
      </c>
      <c r="Y51" s="8">
        <v>0</v>
      </c>
      <c r="Z51" s="8">
        <v>0</v>
      </c>
      <c r="AA51" s="8">
        <v>0</v>
      </c>
      <c r="AB51" s="8">
        <v>0</v>
      </c>
      <c r="AC51" s="8">
        <v>0</v>
      </c>
      <c r="AD51" s="8">
        <v>0</v>
      </c>
    </row>
    <row r="52" spans="1:30" ht="37.5" hidden="1" x14ac:dyDescent="0.25">
      <c r="A52" s="6">
        <v>1049</v>
      </c>
      <c r="B52" s="7" t="s">
        <v>43</v>
      </c>
      <c r="C52" s="7" t="s">
        <v>95</v>
      </c>
      <c r="D52" s="8">
        <v>0.12375</v>
      </c>
      <c r="E52" s="7" t="s">
        <v>106</v>
      </c>
      <c r="F52" s="7" t="str">
        <f t="shared" si="0"/>
        <v>WK1</v>
      </c>
      <c r="G52" s="8">
        <v>0</v>
      </c>
      <c r="H52" s="8">
        <v>0</v>
      </c>
      <c r="I52" s="8">
        <v>0</v>
      </c>
      <c r="J52" s="8">
        <v>0</v>
      </c>
      <c r="K52" s="8">
        <v>0</v>
      </c>
      <c r="L52" s="8">
        <v>0</v>
      </c>
      <c r="M52" s="8">
        <v>0</v>
      </c>
      <c r="N52" s="8">
        <v>0</v>
      </c>
      <c r="O52" s="8">
        <v>0</v>
      </c>
      <c r="P52" s="8">
        <v>1</v>
      </c>
      <c r="Q52" s="8">
        <v>1</v>
      </c>
      <c r="R52" s="8">
        <v>1</v>
      </c>
      <c r="S52" s="8">
        <v>1</v>
      </c>
      <c r="T52" s="8">
        <v>1</v>
      </c>
      <c r="U52" s="8">
        <v>1</v>
      </c>
      <c r="V52" s="8">
        <v>1</v>
      </c>
      <c r="W52" s="8">
        <v>1</v>
      </c>
      <c r="X52" s="8">
        <v>0</v>
      </c>
      <c r="Y52" s="8">
        <v>0</v>
      </c>
      <c r="Z52" s="8">
        <v>0</v>
      </c>
      <c r="AA52" s="8">
        <v>0</v>
      </c>
      <c r="AB52" s="8">
        <v>0</v>
      </c>
      <c r="AC52" s="8">
        <v>0</v>
      </c>
      <c r="AD52" s="8">
        <v>0</v>
      </c>
    </row>
    <row r="53" spans="1:30" ht="37.5" hidden="1" x14ac:dyDescent="0.25">
      <c r="A53" s="6">
        <v>1050</v>
      </c>
      <c r="B53" s="7" t="s">
        <v>107</v>
      </c>
      <c r="C53" s="7" t="s">
        <v>95</v>
      </c>
      <c r="D53" s="8">
        <v>9.0123456790123443E-3</v>
      </c>
      <c r="E53" s="7" t="s">
        <v>108</v>
      </c>
      <c r="F53" s="7" t="str">
        <f t="shared" si="0"/>
        <v>Wk1</v>
      </c>
      <c r="G53" s="8">
        <v>0</v>
      </c>
      <c r="H53" s="8">
        <v>0</v>
      </c>
      <c r="I53" s="8">
        <v>0</v>
      </c>
      <c r="J53" s="8">
        <v>0</v>
      </c>
      <c r="K53" s="8">
        <v>0</v>
      </c>
      <c r="L53" s="8">
        <v>0</v>
      </c>
      <c r="M53" s="8">
        <v>0</v>
      </c>
      <c r="N53" s="8">
        <v>1</v>
      </c>
      <c r="O53" s="8">
        <v>1</v>
      </c>
      <c r="P53" s="8">
        <v>1</v>
      </c>
      <c r="Q53" s="8">
        <v>1</v>
      </c>
      <c r="R53" s="8">
        <v>1</v>
      </c>
      <c r="S53" s="8">
        <v>1</v>
      </c>
      <c r="T53" s="8">
        <v>1</v>
      </c>
      <c r="U53" s="8">
        <v>1</v>
      </c>
      <c r="V53" s="8">
        <v>1</v>
      </c>
      <c r="W53" s="8">
        <v>1</v>
      </c>
      <c r="X53" s="8">
        <v>1</v>
      </c>
      <c r="Y53" s="8">
        <v>1</v>
      </c>
      <c r="Z53" s="8">
        <v>1</v>
      </c>
      <c r="AA53" s="8">
        <v>0</v>
      </c>
      <c r="AB53" s="8">
        <v>0</v>
      </c>
      <c r="AC53" s="8">
        <v>0</v>
      </c>
      <c r="AD53" s="8">
        <v>0</v>
      </c>
    </row>
    <row r="54" spans="1:30" ht="37.5" hidden="1" x14ac:dyDescent="0.25">
      <c r="A54" s="6">
        <v>1052</v>
      </c>
      <c r="B54" s="7" t="s">
        <v>49</v>
      </c>
      <c r="C54" s="7" t="s">
        <v>95</v>
      </c>
      <c r="D54" s="8">
        <v>0.10791666666666665</v>
      </c>
      <c r="E54" s="7" t="s">
        <v>109</v>
      </c>
      <c r="F54" s="7" t="str">
        <f t="shared" si="0"/>
        <v>WK1</v>
      </c>
      <c r="G54" s="8">
        <v>0</v>
      </c>
      <c r="H54" s="8">
        <v>0</v>
      </c>
      <c r="I54" s="8">
        <v>0</v>
      </c>
      <c r="J54" s="8">
        <v>0</v>
      </c>
      <c r="K54" s="8">
        <v>0</v>
      </c>
      <c r="L54" s="8">
        <v>0</v>
      </c>
      <c r="M54" s="8">
        <v>0</v>
      </c>
      <c r="N54" s="8">
        <v>0.25</v>
      </c>
      <c r="O54" s="8">
        <v>0.5</v>
      </c>
      <c r="P54" s="8">
        <v>1</v>
      </c>
      <c r="Q54" s="8">
        <v>1</v>
      </c>
      <c r="R54" s="8">
        <v>1</v>
      </c>
      <c r="S54" s="8">
        <v>0.75</v>
      </c>
      <c r="T54" s="8">
        <v>0.75</v>
      </c>
      <c r="U54" s="8">
        <v>1</v>
      </c>
      <c r="V54" s="8">
        <v>1</v>
      </c>
      <c r="W54" s="8">
        <v>1</v>
      </c>
      <c r="X54" s="8">
        <v>0.5</v>
      </c>
      <c r="Y54" s="8">
        <v>0.25</v>
      </c>
      <c r="Z54" s="8">
        <v>0</v>
      </c>
      <c r="AA54" s="8">
        <v>0</v>
      </c>
      <c r="AB54" s="8">
        <v>0</v>
      </c>
      <c r="AC54" s="8">
        <v>0</v>
      </c>
      <c r="AD54" s="8">
        <v>0</v>
      </c>
    </row>
    <row r="55" spans="1:30" ht="37.5" hidden="1" x14ac:dyDescent="0.25">
      <c r="A55" s="6">
        <v>1053</v>
      </c>
      <c r="B55" s="7" t="s">
        <v>41</v>
      </c>
      <c r="C55" s="7" t="s">
        <v>110</v>
      </c>
      <c r="D55" s="8">
        <v>9.428571428571432E-2</v>
      </c>
      <c r="E55" s="7" t="s">
        <v>111</v>
      </c>
      <c r="F55" s="7" t="str">
        <f t="shared" si="0"/>
        <v>Wk1</v>
      </c>
      <c r="G55" s="8">
        <v>0</v>
      </c>
      <c r="H55" s="8">
        <v>0</v>
      </c>
      <c r="I55" s="8">
        <v>0</v>
      </c>
      <c r="J55" s="8">
        <v>0</v>
      </c>
      <c r="K55" s="8">
        <v>0</v>
      </c>
      <c r="L55" s="8">
        <v>0</v>
      </c>
      <c r="M55" s="8">
        <v>0</v>
      </c>
      <c r="N55" s="8">
        <v>0</v>
      </c>
      <c r="O55" s="8">
        <v>1</v>
      </c>
      <c r="P55" s="8">
        <v>1</v>
      </c>
      <c r="Q55" s="8">
        <v>1</v>
      </c>
      <c r="R55" s="8">
        <v>1</v>
      </c>
      <c r="S55" s="8">
        <v>1</v>
      </c>
      <c r="T55" s="8">
        <v>1</v>
      </c>
      <c r="U55" s="8">
        <v>1</v>
      </c>
      <c r="V55" s="8">
        <v>1</v>
      </c>
      <c r="W55" s="8">
        <v>1</v>
      </c>
      <c r="X55" s="8">
        <v>1</v>
      </c>
      <c r="Y55" s="8">
        <v>0</v>
      </c>
      <c r="Z55" s="8">
        <v>0</v>
      </c>
      <c r="AA55" s="8">
        <v>0</v>
      </c>
      <c r="AB55" s="8">
        <v>0</v>
      </c>
      <c r="AC55" s="8">
        <v>0</v>
      </c>
      <c r="AD55" s="8">
        <v>0</v>
      </c>
    </row>
    <row r="56" spans="1:30" ht="37.5" hidden="1" x14ac:dyDescent="0.25">
      <c r="A56" s="6">
        <v>1054</v>
      </c>
      <c r="B56" s="7" t="s">
        <v>55</v>
      </c>
      <c r="C56" s="7" t="s">
        <v>110</v>
      </c>
      <c r="D56" s="8">
        <v>0.12400306748466261</v>
      </c>
      <c r="E56" s="7" t="s">
        <v>112</v>
      </c>
      <c r="F56" s="7" t="str">
        <f t="shared" si="0"/>
        <v>Wk1</v>
      </c>
      <c r="G56" s="8">
        <v>0</v>
      </c>
      <c r="H56" s="8">
        <v>0</v>
      </c>
      <c r="I56" s="8">
        <v>0</v>
      </c>
      <c r="J56" s="8">
        <v>0</v>
      </c>
      <c r="K56" s="8">
        <v>0</v>
      </c>
      <c r="L56" s="8">
        <v>0</v>
      </c>
      <c r="M56" s="8">
        <v>0</v>
      </c>
      <c r="N56" s="8">
        <v>0</v>
      </c>
      <c r="O56" s="8">
        <v>0</v>
      </c>
      <c r="P56" s="8">
        <v>0.5</v>
      </c>
      <c r="Q56" s="8">
        <v>1</v>
      </c>
      <c r="R56" s="8">
        <v>1</v>
      </c>
      <c r="S56" s="8">
        <v>1</v>
      </c>
      <c r="T56" s="8">
        <v>0.75</v>
      </c>
      <c r="U56" s="8">
        <v>1</v>
      </c>
      <c r="V56" s="8">
        <v>0.75</v>
      </c>
      <c r="W56" s="8">
        <v>0</v>
      </c>
      <c r="X56" s="8">
        <v>0</v>
      </c>
      <c r="Y56" s="8">
        <v>0</v>
      </c>
      <c r="Z56" s="8">
        <v>0</v>
      </c>
      <c r="AA56" s="8">
        <v>0</v>
      </c>
      <c r="AB56" s="8">
        <v>0</v>
      </c>
      <c r="AC56" s="8">
        <v>0</v>
      </c>
      <c r="AD56" s="8">
        <v>0</v>
      </c>
    </row>
    <row r="57" spans="1:30" ht="75" x14ac:dyDescent="0.25">
      <c r="A57" s="6">
        <v>1055</v>
      </c>
      <c r="B57" s="7" t="s">
        <v>57</v>
      </c>
      <c r="C57" s="7" t="s">
        <v>110</v>
      </c>
      <c r="D57" s="8">
        <v>0.3579661016135593</v>
      </c>
      <c r="E57" s="7" t="s">
        <v>113</v>
      </c>
      <c r="F57" s="7" t="str">
        <f t="shared" si="0"/>
        <v>Wk1</v>
      </c>
      <c r="G57" s="8">
        <v>0</v>
      </c>
      <c r="H57" s="8">
        <v>0</v>
      </c>
      <c r="I57" s="8">
        <v>0</v>
      </c>
      <c r="J57" s="8">
        <v>0</v>
      </c>
      <c r="K57" s="8">
        <v>0</v>
      </c>
      <c r="L57" s="8">
        <v>0</v>
      </c>
      <c r="M57" s="8">
        <v>0</v>
      </c>
      <c r="N57" s="8">
        <v>0</v>
      </c>
      <c r="O57" s="8">
        <v>0</v>
      </c>
      <c r="P57" s="8">
        <v>0</v>
      </c>
      <c r="Q57" s="8">
        <v>0</v>
      </c>
      <c r="R57" s="8">
        <v>0.25</v>
      </c>
      <c r="S57" s="8">
        <v>1</v>
      </c>
      <c r="T57" s="8">
        <v>1</v>
      </c>
      <c r="U57" s="8">
        <v>0.75</v>
      </c>
      <c r="V57" s="8">
        <v>0</v>
      </c>
      <c r="W57" s="8">
        <v>0</v>
      </c>
      <c r="X57" s="8">
        <v>0</v>
      </c>
      <c r="Y57" s="8">
        <v>0</v>
      </c>
      <c r="Z57" s="8">
        <v>0</v>
      </c>
      <c r="AA57" s="8">
        <v>0</v>
      </c>
      <c r="AB57" s="8">
        <v>0</v>
      </c>
      <c r="AC57" s="8">
        <v>0</v>
      </c>
      <c r="AD57" s="8">
        <v>0</v>
      </c>
    </row>
    <row r="58" spans="1:30" ht="37.5" hidden="1" x14ac:dyDescent="0.25">
      <c r="A58" s="6">
        <v>1056</v>
      </c>
      <c r="B58" s="7" t="s">
        <v>47</v>
      </c>
      <c r="C58" s="7" t="s">
        <v>110</v>
      </c>
      <c r="D58" s="8">
        <v>0.10607142857142859</v>
      </c>
      <c r="E58" s="7" t="s">
        <v>114</v>
      </c>
      <c r="F58" s="7" t="str">
        <f t="shared" si="0"/>
        <v>Wk1</v>
      </c>
      <c r="G58" s="8">
        <v>0</v>
      </c>
      <c r="H58" s="8">
        <v>0</v>
      </c>
      <c r="I58" s="8">
        <v>0</v>
      </c>
      <c r="J58" s="8">
        <v>0</v>
      </c>
      <c r="K58" s="8">
        <v>0</v>
      </c>
      <c r="L58" s="8">
        <v>0</v>
      </c>
      <c r="M58" s="8">
        <v>0</v>
      </c>
      <c r="N58" s="8">
        <v>0</v>
      </c>
      <c r="O58" s="8">
        <v>0</v>
      </c>
      <c r="P58" s="8">
        <v>0</v>
      </c>
      <c r="Q58" s="8">
        <v>0</v>
      </c>
      <c r="R58" s="8">
        <v>0</v>
      </c>
      <c r="S58" s="8">
        <v>0</v>
      </c>
      <c r="T58" s="8">
        <v>0</v>
      </c>
      <c r="U58" s="8">
        <v>0</v>
      </c>
      <c r="V58" s="8">
        <v>0</v>
      </c>
      <c r="W58" s="8">
        <v>0</v>
      </c>
      <c r="X58" s="8">
        <v>0</v>
      </c>
      <c r="Y58" s="8">
        <v>0</v>
      </c>
      <c r="Z58" s="8">
        <v>0</v>
      </c>
      <c r="AA58" s="8">
        <v>0</v>
      </c>
      <c r="AB58" s="8">
        <v>0</v>
      </c>
      <c r="AC58" s="8">
        <v>0</v>
      </c>
      <c r="AD58" s="8">
        <v>0</v>
      </c>
    </row>
    <row r="59" spans="1:30" ht="37.5" hidden="1" x14ac:dyDescent="0.25">
      <c r="A59" s="6">
        <v>1057</v>
      </c>
      <c r="B59" s="7" t="s">
        <v>45</v>
      </c>
      <c r="C59" s="7" t="s">
        <v>110</v>
      </c>
      <c r="D59" s="8">
        <v>0.1128139534883721</v>
      </c>
      <c r="E59" s="7" t="s">
        <v>115</v>
      </c>
      <c r="F59" s="7" t="str">
        <f t="shared" si="0"/>
        <v>WK1</v>
      </c>
      <c r="G59" s="8">
        <v>0</v>
      </c>
      <c r="H59" s="8">
        <v>0</v>
      </c>
      <c r="I59" s="8">
        <v>0</v>
      </c>
      <c r="J59" s="8">
        <v>0</v>
      </c>
      <c r="K59" s="8">
        <v>0</v>
      </c>
      <c r="L59" s="8">
        <v>0</v>
      </c>
      <c r="M59" s="8">
        <v>0</v>
      </c>
      <c r="N59" s="8">
        <v>0</v>
      </c>
      <c r="O59" s="8">
        <v>0</v>
      </c>
      <c r="P59" s="8">
        <v>1</v>
      </c>
      <c r="Q59" s="8">
        <v>1</v>
      </c>
      <c r="R59" s="8">
        <v>1</v>
      </c>
      <c r="S59" s="8">
        <v>1</v>
      </c>
      <c r="T59" s="8">
        <v>1</v>
      </c>
      <c r="U59" s="8">
        <v>1</v>
      </c>
      <c r="V59" s="8">
        <v>1</v>
      </c>
      <c r="W59" s="8">
        <v>1</v>
      </c>
      <c r="X59" s="8">
        <v>0</v>
      </c>
      <c r="Y59" s="8">
        <v>0</v>
      </c>
      <c r="Z59" s="8">
        <v>0</v>
      </c>
      <c r="AA59" s="8">
        <v>0</v>
      </c>
      <c r="AB59" s="8">
        <v>0</v>
      </c>
      <c r="AC59" s="8">
        <v>0</v>
      </c>
      <c r="AD59" s="8">
        <v>0</v>
      </c>
    </row>
    <row r="60" spans="1:30" ht="37.5" hidden="1" x14ac:dyDescent="0.25">
      <c r="A60" s="6">
        <v>1059</v>
      </c>
      <c r="B60" s="7" t="s">
        <v>38</v>
      </c>
      <c r="C60" s="7" t="s">
        <v>110</v>
      </c>
      <c r="D60" s="8">
        <v>0.10371428571428574</v>
      </c>
      <c r="E60" s="7" t="s">
        <v>116</v>
      </c>
      <c r="F60" s="7" t="str">
        <f t="shared" si="0"/>
        <v>Wk1</v>
      </c>
      <c r="G60" s="8">
        <v>0</v>
      </c>
      <c r="H60" s="8">
        <v>0</v>
      </c>
      <c r="I60" s="8">
        <v>0</v>
      </c>
      <c r="J60" s="8">
        <v>0</v>
      </c>
      <c r="K60" s="8">
        <v>0</v>
      </c>
      <c r="L60" s="8">
        <v>0</v>
      </c>
      <c r="M60" s="8">
        <v>0</v>
      </c>
      <c r="N60" s="8">
        <v>0</v>
      </c>
      <c r="O60" s="8">
        <v>1</v>
      </c>
      <c r="P60" s="8">
        <v>1</v>
      </c>
      <c r="Q60" s="8">
        <v>1</v>
      </c>
      <c r="R60" s="8">
        <v>1</v>
      </c>
      <c r="S60" s="8">
        <v>1</v>
      </c>
      <c r="T60" s="8">
        <v>1</v>
      </c>
      <c r="U60" s="8">
        <v>1</v>
      </c>
      <c r="V60" s="8">
        <v>1</v>
      </c>
      <c r="W60" s="8">
        <v>1</v>
      </c>
      <c r="X60" s="8">
        <v>1</v>
      </c>
      <c r="Y60" s="8">
        <v>0</v>
      </c>
      <c r="Z60" s="8">
        <v>0</v>
      </c>
      <c r="AA60" s="8">
        <v>0</v>
      </c>
      <c r="AB60" s="8">
        <v>0</v>
      </c>
      <c r="AC60" s="8">
        <v>0</v>
      </c>
      <c r="AD60" s="8">
        <v>0</v>
      </c>
    </row>
    <row r="61" spans="1:30" ht="37.5" hidden="1" x14ac:dyDescent="0.25">
      <c r="A61" s="6">
        <v>1060</v>
      </c>
      <c r="B61" s="7" t="s">
        <v>43</v>
      </c>
      <c r="C61" s="7" t="s">
        <v>110</v>
      </c>
      <c r="D61" s="8">
        <v>0.10371428571428574</v>
      </c>
      <c r="E61" s="7" t="s">
        <v>117</v>
      </c>
      <c r="F61" s="7" t="str">
        <f t="shared" si="0"/>
        <v>Wk1</v>
      </c>
      <c r="G61" s="8">
        <v>0</v>
      </c>
      <c r="H61" s="8">
        <v>0</v>
      </c>
      <c r="I61" s="8">
        <v>0</v>
      </c>
      <c r="J61" s="8">
        <v>0</v>
      </c>
      <c r="K61" s="8">
        <v>0</v>
      </c>
      <c r="L61" s="8">
        <v>0</v>
      </c>
      <c r="M61" s="8">
        <v>0</v>
      </c>
      <c r="N61" s="8">
        <v>0</v>
      </c>
      <c r="O61" s="8">
        <v>1</v>
      </c>
      <c r="P61" s="8">
        <v>1</v>
      </c>
      <c r="Q61" s="8">
        <v>1</v>
      </c>
      <c r="R61" s="8">
        <v>1</v>
      </c>
      <c r="S61" s="8">
        <v>1</v>
      </c>
      <c r="T61" s="8">
        <v>1</v>
      </c>
      <c r="U61" s="8">
        <v>1</v>
      </c>
      <c r="V61" s="8">
        <v>1</v>
      </c>
      <c r="W61" s="8">
        <v>1</v>
      </c>
      <c r="X61" s="8">
        <v>1</v>
      </c>
      <c r="Y61" s="8">
        <v>0</v>
      </c>
      <c r="Z61" s="8">
        <v>0</v>
      </c>
      <c r="AA61" s="8">
        <v>0</v>
      </c>
      <c r="AB61" s="8">
        <v>0</v>
      </c>
      <c r="AC61" s="8">
        <v>0</v>
      </c>
      <c r="AD61" s="8">
        <v>0</v>
      </c>
    </row>
    <row r="62" spans="1:30" ht="37.5" hidden="1" x14ac:dyDescent="0.25">
      <c r="A62" s="6">
        <v>1063</v>
      </c>
      <c r="B62" s="7" t="s">
        <v>107</v>
      </c>
      <c r="C62" s="7" t="s">
        <v>110</v>
      </c>
      <c r="D62" s="8">
        <v>1.0857142857714287E-2</v>
      </c>
      <c r="E62" s="7" t="s">
        <v>118</v>
      </c>
      <c r="F62" s="7" t="str">
        <f t="shared" si="0"/>
        <v>Wk1</v>
      </c>
      <c r="G62" s="8">
        <v>0</v>
      </c>
      <c r="H62" s="8">
        <v>0</v>
      </c>
      <c r="I62" s="8">
        <v>0</v>
      </c>
      <c r="J62" s="8">
        <v>0</v>
      </c>
      <c r="K62" s="8">
        <v>0</v>
      </c>
      <c r="L62" s="8">
        <v>0</v>
      </c>
      <c r="M62" s="8">
        <v>0</v>
      </c>
      <c r="N62" s="8">
        <v>0</v>
      </c>
      <c r="O62" s="8">
        <v>1</v>
      </c>
      <c r="P62" s="8">
        <v>1</v>
      </c>
      <c r="Q62" s="8">
        <v>1</v>
      </c>
      <c r="R62" s="8">
        <v>1</v>
      </c>
      <c r="S62" s="8">
        <v>1</v>
      </c>
      <c r="T62" s="8">
        <v>1</v>
      </c>
      <c r="U62" s="8">
        <v>1</v>
      </c>
      <c r="V62" s="8">
        <v>1</v>
      </c>
      <c r="W62" s="8">
        <v>1</v>
      </c>
      <c r="X62" s="8">
        <v>1</v>
      </c>
      <c r="Y62" s="8">
        <v>0</v>
      </c>
      <c r="Z62" s="8">
        <v>0</v>
      </c>
      <c r="AA62" s="8">
        <v>0</v>
      </c>
      <c r="AB62" s="8">
        <v>0</v>
      </c>
      <c r="AC62" s="8">
        <v>0</v>
      </c>
      <c r="AD62" s="8">
        <v>0</v>
      </c>
    </row>
    <row r="63" spans="1:30" ht="37.5" hidden="1" x14ac:dyDescent="0.25">
      <c r="A63" s="6">
        <v>1064</v>
      </c>
      <c r="B63" s="7" t="s">
        <v>53</v>
      </c>
      <c r="C63" s="7" t="s">
        <v>110</v>
      </c>
      <c r="D63" s="8">
        <v>0.32500000000000001</v>
      </c>
      <c r="E63" s="7" t="s">
        <v>119</v>
      </c>
      <c r="F63" s="7" t="str">
        <f t="shared" si="0"/>
        <v>WK1</v>
      </c>
      <c r="G63" s="8">
        <v>0</v>
      </c>
      <c r="H63" s="8">
        <v>0</v>
      </c>
      <c r="I63" s="8">
        <v>0</v>
      </c>
      <c r="J63" s="8">
        <v>0</v>
      </c>
      <c r="K63" s="8">
        <v>0</v>
      </c>
      <c r="L63" s="8">
        <v>0</v>
      </c>
      <c r="M63" s="8">
        <v>0</v>
      </c>
      <c r="N63" s="8">
        <v>0</v>
      </c>
      <c r="O63" s="8">
        <v>0</v>
      </c>
      <c r="P63" s="8">
        <v>0.25</v>
      </c>
      <c r="Q63" s="8">
        <v>0.25</v>
      </c>
      <c r="R63" s="8">
        <v>0.25</v>
      </c>
      <c r="S63" s="8">
        <v>0.25</v>
      </c>
      <c r="T63" s="8">
        <v>0.25</v>
      </c>
      <c r="U63" s="8">
        <v>0.25</v>
      </c>
      <c r="V63" s="8">
        <v>0.25</v>
      </c>
      <c r="W63" s="8">
        <v>0.25</v>
      </c>
      <c r="X63" s="8">
        <v>0</v>
      </c>
      <c r="Y63" s="8">
        <v>0</v>
      </c>
      <c r="Z63" s="8">
        <v>0</v>
      </c>
      <c r="AA63" s="8">
        <v>0</v>
      </c>
      <c r="AB63" s="8">
        <v>0</v>
      </c>
      <c r="AC63" s="8">
        <v>0</v>
      </c>
      <c r="AD63" s="8">
        <v>0</v>
      </c>
    </row>
    <row r="64" spans="1:30" ht="37.5" hidden="1" x14ac:dyDescent="0.25">
      <c r="A64" s="6">
        <v>1066</v>
      </c>
      <c r="B64" s="7" t="s">
        <v>49</v>
      </c>
      <c r="C64" s="7" t="s">
        <v>110</v>
      </c>
      <c r="D64" s="8">
        <v>9.5142857142857168E-2</v>
      </c>
      <c r="E64" s="7" t="s">
        <v>120</v>
      </c>
      <c r="F64" s="7" t="str">
        <f t="shared" si="0"/>
        <v>Wk1</v>
      </c>
      <c r="G64" s="8">
        <v>0</v>
      </c>
      <c r="H64" s="8">
        <v>0</v>
      </c>
      <c r="I64" s="8">
        <v>0</v>
      </c>
      <c r="J64" s="8">
        <v>0</v>
      </c>
      <c r="K64" s="8">
        <v>0</v>
      </c>
      <c r="L64" s="8">
        <v>0</v>
      </c>
      <c r="M64" s="8">
        <v>0</v>
      </c>
      <c r="N64" s="8">
        <v>0</v>
      </c>
      <c r="O64" s="8">
        <v>1</v>
      </c>
      <c r="P64" s="8">
        <v>1</v>
      </c>
      <c r="Q64" s="8">
        <v>1</v>
      </c>
      <c r="R64" s="8">
        <v>1</v>
      </c>
      <c r="S64" s="8">
        <v>1</v>
      </c>
      <c r="T64" s="8">
        <v>1</v>
      </c>
      <c r="U64" s="8">
        <v>1</v>
      </c>
      <c r="V64" s="8">
        <v>1</v>
      </c>
      <c r="W64" s="8">
        <v>1</v>
      </c>
      <c r="X64" s="8">
        <v>1</v>
      </c>
      <c r="Y64" s="8">
        <v>0</v>
      </c>
      <c r="Z64" s="8">
        <v>0</v>
      </c>
      <c r="AA64" s="8">
        <v>0</v>
      </c>
      <c r="AB64" s="8">
        <v>0</v>
      </c>
      <c r="AC64" s="8">
        <v>0</v>
      </c>
      <c r="AD64" s="8">
        <v>0</v>
      </c>
    </row>
    <row r="65" spans="1:30" ht="37.5" hidden="1" x14ac:dyDescent="0.25">
      <c r="A65" s="6">
        <v>1067</v>
      </c>
      <c r="B65" s="7" t="s">
        <v>84</v>
      </c>
      <c r="C65" s="7" t="s">
        <v>62</v>
      </c>
      <c r="D65" s="8">
        <v>0.10371428571428574</v>
      </c>
      <c r="E65" s="7" t="s">
        <v>121</v>
      </c>
      <c r="F65" s="7" t="str">
        <f t="shared" si="0"/>
        <v>Wk1</v>
      </c>
      <c r="G65" s="8">
        <v>0</v>
      </c>
      <c r="H65" s="8">
        <v>0</v>
      </c>
      <c r="I65" s="8">
        <v>0</v>
      </c>
      <c r="J65" s="8">
        <v>0</v>
      </c>
      <c r="K65" s="8">
        <v>0</v>
      </c>
      <c r="L65" s="8">
        <v>0</v>
      </c>
      <c r="M65" s="8">
        <v>0</v>
      </c>
      <c r="N65" s="8">
        <v>0</v>
      </c>
      <c r="O65" s="8">
        <v>1</v>
      </c>
      <c r="P65" s="8">
        <v>1</v>
      </c>
      <c r="Q65" s="8">
        <v>1</v>
      </c>
      <c r="R65" s="8">
        <v>1</v>
      </c>
      <c r="S65" s="8">
        <v>1</v>
      </c>
      <c r="T65" s="8">
        <v>1</v>
      </c>
      <c r="U65" s="8">
        <v>1</v>
      </c>
      <c r="V65" s="8">
        <v>1</v>
      </c>
      <c r="W65" s="8">
        <v>1</v>
      </c>
      <c r="X65" s="8">
        <v>1</v>
      </c>
      <c r="Y65" s="8">
        <v>0</v>
      </c>
      <c r="Z65" s="8">
        <v>0</v>
      </c>
      <c r="AA65" s="8">
        <v>0</v>
      </c>
      <c r="AB65" s="8">
        <v>0</v>
      </c>
      <c r="AC65" s="8">
        <v>0</v>
      </c>
      <c r="AD65" s="8">
        <v>0</v>
      </c>
    </row>
    <row r="66" spans="1:30" ht="37.5" hidden="1" x14ac:dyDescent="0.25">
      <c r="A66" s="6">
        <v>1068</v>
      </c>
      <c r="B66" s="7" t="s">
        <v>55</v>
      </c>
      <c r="C66" s="7" t="s">
        <v>62</v>
      </c>
      <c r="D66" s="8">
        <v>0.108</v>
      </c>
      <c r="E66" s="7" t="s">
        <v>122</v>
      </c>
      <c r="F66" s="7" t="str">
        <f t="shared" si="0"/>
        <v>Wk1</v>
      </c>
      <c r="G66" s="8">
        <v>0</v>
      </c>
      <c r="H66" s="8">
        <v>0</v>
      </c>
      <c r="I66" s="8">
        <v>0</v>
      </c>
      <c r="J66" s="8">
        <v>0</v>
      </c>
      <c r="K66" s="8">
        <v>0</v>
      </c>
      <c r="L66" s="8">
        <v>0</v>
      </c>
      <c r="M66" s="8">
        <v>0</v>
      </c>
      <c r="N66" s="8">
        <v>0</v>
      </c>
      <c r="O66" s="8">
        <v>0</v>
      </c>
      <c r="P66" s="8">
        <v>0.5</v>
      </c>
      <c r="Q66" s="8">
        <v>1</v>
      </c>
      <c r="R66" s="8">
        <v>1</v>
      </c>
      <c r="S66" s="8">
        <v>1</v>
      </c>
      <c r="T66" s="8">
        <v>0.75</v>
      </c>
      <c r="U66" s="8">
        <v>1</v>
      </c>
      <c r="V66" s="8">
        <v>0.75</v>
      </c>
      <c r="W66" s="8">
        <v>0</v>
      </c>
      <c r="X66" s="8">
        <v>0</v>
      </c>
      <c r="Y66" s="8">
        <v>0</v>
      </c>
      <c r="Z66" s="8">
        <v>0</v>
      </c>
      <c r="AA66" s="8">
        <v>0</v>
      </c>
      <c r="AB66" s="8">
        <v>0</v>
      </c>
      <c r="AC66" s="8">
        <v>0</v>
      </c>
      <c r="AD66" s="8">
        <v>0</v>
      </c>
    </row>
    <row r="67" spans="1:30" ht="62.5" x14ac:dyDescent="0.25">
      <c r="A67" s="6">
        <v>1069</v>
      </c>
      <c r="B67" s="7" t="s">
        <v>57</v>
      </c>
      <c r="C67" s="7" t="s">
        <v>62</v>
      </c>
      <c r="D67" s="8">
        <v>0.33050847457627125</v>
      </c>
      <c r="E67" s="7" t="s">
        <v>123</v>
      </c>
      <c r="F67" s="7" t="str">
        <f t="shared" si="0"/>
        <v>Wk1</v>
      </c>
      <c r="G67" s="8">
        <v>0</v>
      </c>
      <c r="H67" s="8">
        <v>0</v>
      </c>
      <c r="I67" s="8">
        <v>0</v>
      </c>
      <c r="J67" s="8">
        <v>0</v>
      </c>
      <c r="K67" s="8">
        <v>0</v>
      </c>
      <c r="L67" s="8">
        <v>0</v>
      </c>
      <c r="M67" s="8">
        <v>0</v>
      </c>
      <c r="N67" s="8">
        <v>0</v>
      </c>
      <c r="O67" s="8">
        <v>0</v>
      </c>
      <c r="P67" s="8">
        <v>0</v>
      </c>
      <c r="Q67" s="8">
        <v>0</v>
      </c>
      <c r="R67" s="8">
        <v>0.25</v>
      </c>
      <c r="S67" s="8">
        <v>1</v>
      </c>
      <c r="T67" s="8">
        <v>1</v>
      </c>
      <c r="U67" s="8">
        <v>0.75</v>
      </c>
      <c r="V67" s="8">
        <v>0</v>
      </c>
      <c r="W67" s="8">
        <v>0</v>
      </c>
      <c r="X67" s="8">
        <v>0</v>
      </c>
      <c r="Y67" s="8">
        <v>0</v>
      </c>
      <c r="Z67" s="8">
        <v>0</v>
      </c>
      <c r="AA67" s="8">
        <v>0</v>
      </c>
      <c r="AB67" s="8">
        <v>0</v>
      </c>
      <c r="AC67" s="8">
        <v>0</v>
      </c>
      <c r="AD67" s="8">
        <v>0</v>
      </c>
    </row>
    <row r="68" spans="1:30" ht="37.5" hidden="1" x14ac:dyDescent="0.25">
      <c r="A68" s="6">
        <v>1070</v>
      </c>
      <c r="B68" s="7" t="s">
        <v>47</v>
      </c>
      <c r="C68" s="7" t="s">
        <v>62</v>
      </c>
      <c r="D68" s="8">
        <v>0.10607142857142859</v>
      </c>
      <c r="E68" s="7" t="s">
        <v>124</v>
      </c>
      <c r="F68" s="7" t="str">
        <f t="shared" si="0"/>
        <v>Wk1</v>
      </c>
      <c r="G68" s="8">
        <v>0</v>
      </c>
      <c r="H68" s="8">
        <v>0</v>
      </c>
      <c r="I68" s="8">
        <v>0</v>
      </c>
      <c r="J68" s="8">
        <v>0</v>
      </c>
      <c r="K68" s="8">
        <v>0</v>
      </c>
      <c r="L68" s="8">
        <v>0</v>
      </c>
      <c r="M68" s="8">
        <v>0</v>
      </c>
      <c r="N68" s="8">
        <v>0</v>
      </c>
      <c r="O68" s="8">
        <v>0</v>
      </c>
      <c r="P68" s="8">
        <v>0</v>
      </c>
      <c r="Q68" s="8">
        <v>0</v>
      </c>
      <c r="R68" s="8">
        <v>0</v>
      </c>
      <c r="S68" s="8">
        <v>0</v>
      </c>
      <c r="T68" s="8">
        <v>0</v>
      </c>
      <c r="U68" s="8">
        <v>0</v>
      </c>
      <c r="V68" s="8">
        <v>0</v>
      </c>
      <c r="W68" s="8">
        <v>0</v>
      </c>
      <c r="X68" s="8">
        <v>0</v>
      </c>
      <c r="Y68" s="8">
        <v>0</v>
      </c>
      <c r="Z68" s="8">
        <v>0</v>
      </c>
      <c r="AA68" s="8">
        <v>0</v>
      </c>
      <c r="AB68" s="8">
        <v>0</v>
      </c>
      <c r="AC68" s="8">
        <v>0</v>
      </c>
      <c r="AD68" s="8">
        <v>0</v>
      </c>
    </row>
    <row r="69" spans="1:30" ht="37.5" hidden="1" x14ac:dyDescent="0.25">
      <c r="A69" s="6">
        <v>1071</v>
      </c>
      <c r="B69" s="7" t="s">
        <v>125</v>
      </c>
      <c r="C69" s="7" t="s">
        <v>62</v>
      </c>
      <c r="D69" s="8">
        <v>0.11687500000000001</v>
      </c>
      <c r="E69" s="7" t="s">
        <v>126</v>
      </c>
      <c r="F69" s="7" t="str">
        <f t="shared" si="0"/>
        <v>Wk1</v>
      </c>
      <c r="G69" s="8">
        <v>0</v>
      </c>
      <c r="H69" s="8">
        <v>0</v>
      </c>
      <c r="I69" s="8">
        <v>0</v>
      </c>
      <c r="J69" s="8">
        <v>0</v>
      </c>
      <c r="K69" s="8">
        <v>0</v>
      </c>
      <c r="L69" s="8">
        <v>0</v>
      </c>
      <c r="M69" s="8">
        <v>0</v>
      </c>
      <c r="N69" s="8">
        <v>0</v>
      </c>
      <c r="O69" s="8">
        <v>0</v>
      </c>
      <c r="P69" s="8">
        <v>0.75</v>
      </c>
      <c r="Q69" s="8">
        <v>1</v>
      </c>
      <c r="R69" s="8">
        <v>1</v>
      </c>
      <c r="S69" s="8">
        <v>0.75</v>
      </c>
      <c r="T69" s="8">
        <v>0.75</v>
      </c>
      <c r="U69" s="8">
        <v>1</v>
      </c>
      <c r="V69" s="8">
        <v>1</v>
      </c>
      <c r="W69" s="8">
        <v>1</v>
      </c>
      <c r="X69" s="8">
        <v>0.75</v>
      </c>
      <c r="Y69" s="8">
        <v>0</v>
      </c>
      <c r="Z69" s="8">
        <v>0</v>
      </c>
      <c r="AA69" s="8">
        <v>0</v>
      </c>
      <c r="AB69" s="8">
        <v>0</v>
      </c>
      <c r="AC69" s="8">
        <v>0</v>
      </c>
      <c r="AD69" s="8">
        <v>0</v>
      </c>
    </row>
    <row r="70" spans="1:30" ht="37.5" hidden="1" x14ac:dyDescent="0.25">
      <c r="A70" s="6">
        <v>1072</v>
      </c>
      <c r="B70" s="7" t="s">
        <v>127</v>
      </c>
      <c r="C70" s="7" t="s">
        <v>62</v>
      </c>
      <c r="D70" s="8">
        <v>0.11687500000000001</v>
      </c>
      <c r="E70" s="7" t="s">
        <v>128</v>
      </c>
      <c r="F70" s="7" t="str">
        <f t="shared" si="0"/>
        <v>Wk1</v>
      </c>
      <c r="G70" s="8">
        <v>0</v>
      </c>
      <c r="H70" s="8">
        <v>0</v>
      </c>
      <c r="I70" s="8">
        <v>0</v>
      </c>
      <c r="J70" s="8">
        <v>0</v>
      </c>
      <c r="K70" s="8">
        <v>0</v>
      </c>
      <c r="L70" s="8">
        <v>0</v>
      </c>
      <c r="M70" s="8">
        <v>0</v>
      </c>
      <c r="N70" s="8">
        <v>0</v>
      </c>
      <c r="O70" s="8">
        <v>0</v>
      </c>
      <c r="P70" s="8">
        <v>0.75</v>
      </c>
      <c r="Q70" s="8">
        <v>1</v>
      </c>
      <c r="R70" s="8">
        <v>1</v>
      </c>
      <c r="S70" s="8">
        <v>0.75</v>
      </c>
      <c r="T70" s="8">
        <v>0.75</v>
      </c>
      <c r="U70" s="8">
        <v>1</v>
      </c>
      <c r="V70" s="8">
        <v>1</v>
      </c>
      <c r="W70" s="8">
        <v>1</v>
      </c>
      <c r="X70" s="8">
        <v>0.75</v>
      </c>
      <c r="Y70" s="8">
        <v>0</v>
      </c>
      <c r="Z70" s="8">
        <v>0</v>
      </c>
      <c r="AA70" s="8">
        <v>0</v>
      </c>
      <c r="AB70" s="8">
        <v>0</v>
      </c>
      <c r="AC70" s="8">
        <v>0</v>
      </c>
      <c r="AD70" s="8">
        <v>0</v>
      </c>
    </row>
    <row r="71" spans="1:30" ht="37.5" hidden="1" x14ac:dyDescent="0.25">
      <c r="A71" s="6">
        <v>1073</v>
      </c>
      <c r="B71" s="7" t="s">
        <v>129</v>
      </c>
      <c r="C71" s="7" t="s">
        <v>62</v>
      </c>
      <c r="D71" s="8">
        <v>0.11687500000000001</v>
      </c>
      <c r="E71" s="7" t="s">
        <v>130</v>
      </c>
      <c r="F71" s="7" t="str">
        <f t="shared" si="0"/>
        <v>Wk1</v>
      </c>
      <c r="G71" s="8">
        <v>0</v>
      </c>
      <c r="H71" s="8">
        <v>0</v>
      </c>
      <c r="I71" s="8">
        <v>0</v>
      </c>
      <c r="J71" s="8">
        <v>0</v>
      </c>
      <c r="K71" s="8">
        <v>0</v>
      </c>
      <c r="L71" s="8">
        <v>0</v>
      </c>
      <c r="M71" s="8">
        <v>0</v>
      </c>
      <c r="N71" s="8">
        <v>0</v>
      </c>
      <c r="O71" s="8">
        <v>0</v>
      </c>
      <c r="P71" s="8">
        <v>0.75</v>
      </c>
      <c r="Q71" s="8">
        <v>1</v>
      </c>
      <c r="R71" s="8">
        <v>1</v>
      </c>
      <c r="S71" s="8">
        <v>0.75</v>
      </c>
      <c r="T71" s="8">
        <v>0.75</v>
      </c>
      <c r="U71" s="8">
        <v>1</v>
      </c>
      <c r="V71" s="8">
        <v>1</v>
      </c>
      <c r="W71" s="8">
        <v>1</v>
      </c>
      <c r="X71" s="8">
        <v>0.75</v>
      </c>
      <c r="Y71" s="8">
        <v>0</v>
      </c>
      <c r="Z71" s="8">
        <v>0</v>
      </c>
      <c r="AA71" s="8">
        <v>0</v>
      </c>
      <c r="AB71" s="8">
        <v>0</v>
      </c>
      <c r="AC71" s="8">
        <v>0</v>
      </c>
      <c r="AD71" s="8">
        <v>0</v>
      </c>
    </row>
    <row r="72" spans="1:30" ht="37.5" hidden="1" x14ac:dyDescent="0.25">
      <c r="A72" s="6">
        <v>1074</v>
      </c>
      <c r="B72" s="7" t="s">
        <v>38</v>
      </c>
      <c r="C72" s="7" t="s">
        <v>62</v>
      </c>
      <c r="D72" s="8">
        <v>0.10371428571428574</v>
      </c>
      <c r="E72" s="7" t="s">
        <v>131</v>
      </c>
      <c r="F72" s="7" t="str">
        <f t="shared" si="0"/>
        <v>Wk1</v>
      </c>
      <c r="G72" s="8">
        <v>0</v>
      </c>
      <c r="H72" s="8">
        <v>0</v>
      </c>
      <c r="I72" s="8">
        <v>0</v>
      </c>
      <c r="J72" s="8">
        <v>0</v>
      </c>
      <c r="K72" s="8">
        <v>0</v>
      </c>
      <c r="L72" s="8">
        <v>0</v>
      </c>
      <c r="M72" s="8">
        <v>0</v>
      </c>
      <c r="N72" s="8">
        <v>0</v>
      </c>
      <c r="O72" s="8">
        <v>1</v>
      </c>
      <c r="P72" s="8">
        <v>1</v>
      </c>
      <c r="Q72" s="8">
        <v>1</v>
      </c>
      <c r="R72" s="8">
        <v>1</v>
      </c>
      <c r="S72" s="8">
        <v>1</v>
      </c>
      <c r="T72" s="8">
        <v>1</v>
      </c>
      <c r="U72" s="8">
        <v>1</v>
      </c>
      <c r="V72" s="8">
        <v>1</v>
      </c>
      <c r="W72" s="8">
        <v>1</v>
      </c>
      <c r="X72" s="8">
        <v>1</v>
      </c>
      <c r="Y72" s="8">
        <v>0</v>
      </c>
      <c r="Z72" s="8">
        <v>0</v>
      </c>
      <c r="AA72" s="8">
        <v>0</v>
      </c>
      <c r="AB72" s="8">
        <v>0</v>
      </c>
      <c r="AC72" s="8">
        <v>0</v>
      </c>
      <c r="AD72" s="8">
        <v>0</v>
      </c>
    </row>
    <row r="73" spans="1:30" ht="37.5" hidden="1" x14ac:dyDescent="0.25">
      <c r="A73" s="6">
        <v>1077</v>
      </c>
      <c r="B73" s="7" t="s">
        <v>43</v>
      </c>
      <c r="C73" s="7" t="s">
        <v>62</v>
      </c>
      <c r="D73" s="8">
        <v>0.10371428571428574</v>
      </c>
      <c r="E73" s="7" t="s">
        <v>132</v>
      </c>
      <c r="F73" s="7" t="str">
        <f t="shared" si="0"/>
        <v>Wk1</v>
      </c>
      <c r="G73" s="8">
        <v>0</v>
      </c>
      <c r="H73" s="8">
        <v>0</v>
      </c>
      <c r="I73" s="8">
        <v>0</v>
      </c>
      <c r="J73" s="8">
        <v>0</v>
      </c>
      <c r="K73" s="8">
        <v>0</v>
      </c>
      <c r="L73" s="8">
        <v>0</v>
      </c>
      <c r="M73" s="8">
        <v>0</v>
      </c>
      <c r="N73" s="8">
        <v>0</v>
      </c>
      <c r="O73" s="8">
        <v>1</v>
      </c>
      <c r="P73" s="8">
        <v>1</v>
      </c>
      <c r="Q73" s="8">
        <v>1</v>
      </c>
      <c r="R73" s="8">
        <v>1</v>
      </c>
      <c r="S73" s="8">
        <v>1</v>
      </c>
      <c r="T73" s="8">
        <v>1</v>
      </c>
      <c r="U73" s="8">
        <v>1</v>
      </c>
      <c r="V73" s="8">
        <v>1</v>
      </c>
      <c r="W73" s="8">
        <v>1</v>
      </c>
      <c r="X73" s="8">
        <v>1</v>
      </c>
      <c r="Y73" s="8">
        <v>0</v>
      </c>
      <c r="Z73" s="8">
        <v>0</v>
      </c>
      <c r="AA73" s="8">
        <v>0</v>
      </c>
      <c r="AB73" s="8">
        <v>0</v>
      </c>
      <c r="AC73" s="8">
        <v>0</v>
      </c>
      <c r="AD73" s="8">
        <v>0</v>
      </c>
    </row>
    <row r="74" spans="1:30" ht="37.5" hidden="1" x14ac:dyDescent="0.25">
      <c r="A74" s="6">
        <v>1078</v>
      </c>
      <c r="B74" s="7" t="s">
        <v>49</v>
      </c>
      <c r="C74" s="7" t="s">
        <v>62</v>
      </c>
      <c r="D74" s="8">
        <v>9.5142857142857168E-2</v>
      </c>
      <c r="E74" s="7" t="s">
        <v>133</v>
      </c>
      <c r="F74" s="7" t="str">
        <f t="shared" ref="F74:F137" si="1">RIGHT(E74,3)</f>
        <v>Wk1</v>
      </c>
      <c r="G74" s="8">
        <v>0</v>
      </c>
      <c r="H74" s="8">
        <v>0</v>
      </c>
      <c r="I74" s="8">
        <v>0</v>
      </c>
      <c r="J74" s="8">
        <v>0</v>
      </c>
      <c r="K74" s="8">
        <v>0</v>
      </c>
      <c r="L74" s="8">
        <v>0</v>
      </c>
      <c r="M74" s="8">
        <v>0</v>
      </c>
      <c r="N74" s="8">
        <v>0</v>
      </c>
      <c r="O74" s="8">
        <v>1</v>
      </c>
      <c r="P74" s="8">
        <v>1</v>
      </c>
      <c r="Q74" s="8">
        <v>1</v>
      </c>
      <c r="R74" s="8">
        <v>1</v>
      </c>
      <c r="S74" s="8">
        <v>1</v>
      </c>
      <c r="T74" s="8">
        <v>1</v>
      </c>
      <c r="U74" s="8">
        <v>1</v>
      </c>
      <c r="V74" s="8">
        <v>1</v>
      </c>
      <c r="W74" s="8">
        <v>1</v>
      </c>
      <c r="X74" s="8">
        <v>1</v>
      </c>
      <c r="Y74" s="8">
        <v>0</v>
      </c>
      <c r="Z74" s="8">
        <v>0</v>
      </c>
      <c r="AA74" s="8">
        <v>0</v>
      </c>
      <c r="AB74" s="8">
        <v>0</v>
      </c>
      <c r="AC74" s="8">
        <v>0</v>
      </c>
      <c r="AD74" s="8">
        <v>0</v>
      </c>
    </row>
    <row r="75" spans="1:30" ht="37.5" hidden="1" x14ac:dyDescent="0.25">
      <c r="A75" s="6">
        <v>1079</v>
      </c>
      <c r="B75" s="7" t="s">
        <v>134</v>
      </c>
      <c r="C75" s="7" t="s">
        <v>135</v>
      </c>
      <c r="D75" s="8">
        <v>1.87563025194958E-2</v>
      </c>
      <c r="E75" s="7" t="s">
        <v>136</v>
      </c>
      <c r="F75" s="7" t="str">
        <f t="shared" si="1"/>
        <v>Wk1</v>
      </c>
      <c r="G75" s="8">
        <v>0</v>
      </c>
      <c r="H75" s="8">
        <v>0</v>
      </c>
      <c r="I75" s="8">
        <v>0</v>
      </c>
      <c r="J75" s="8">
        <v>0</v>
      </c>
      <c r="K75" s="8">
        <v>0</v>
      </c>
      <c r="L75" s="8">
        <v>0</v>
      </c>
      <c r="M75" s="8">
        <v>0</v>
      </c>
      <c r="N75" s="8">
        <v>0</v>
      </c>
      <c r="O75" s="8">
        <v>0</v>
      </c>
      <c r="P75" s="8">
        <v>0</v>
      </c>
      <c r="Q75" s="8">
        <v>0</v>
      </c>
      <c r="R75" s="8">
        <v>0</v>
      </c>
      <c r="S75" s="8">
        <v>0</v>
      </c>
      <c r="T75" s="8">
        <v>0</v>
      </c>
      <c r="U75" s="8">
        <v>0</v>
      </c>
      <c r="V75" s="8">
        <v>0</v>
      </c>
      <c r="W75" s="8">
        <v>0.5</v>
      </c>
      <c r="X75" s="8">
        <v>0.5</v>
      </c>
      <c r="Y75" s="8">
        <v>1</v>
      </c>
      <c r="Z75" s="8">
        <v>1</v>
      </c>
      <c r="AA75" s="8">
        <v>1</v>
      </c>
      <c r="AB75" s="8">
        <v>1</v>
      </c>
      <c r="AC75" s="8">
        <v>0.66666666699999999</v>
      </c>
      <c r="AD75" s="8">
        <v>0</v>
      </c>
    </row>
    <row r="76" spans="1:30" ht="37.5" hidden="1" x14ac:dyDescent="0.25">
      <c r="A76" s="6">
        <v>1080</v>
      </c>
      <c r="B76" s="7" t="s">
        <v>137</v>
      </c>
      <c r="C76" s="7" t="s">
        <v>135</v>
      </c>
      <c r="D76" s="8">
        <v>2.2938775510204085E-2</v>
      </c>
      <c r="E76" s="7" t="s">
        <v>138</v>
      </c>
      <c r="F76" s="7" t="str">
        <f t="shared" si="1"/>
        <v>Wk1</v>
      </c>
      <c r="G76" s="8">
        <v>1</v>
      </c>
      <c r="H76" s="8">
        <v>1</v>
      </c>
      <c r="I76" s="8">
        <v>1</v>
      </c>
      <c r="J76" s="8">
        <v>1</v>
      </c>
      <c r="K76" s="8">
        <v>1</v>
      </c>
      <c r="L76" s="8">
        <v>1</v>
      </c>
      <c r="M76" s="8">
        <v>1</v>
      </c>
      <c r="N76" s="8">
        <v>0.5</v>
      </c>
      <c r="O76" s="8">
        <v>0.25</v>
      </c>
      <c r="P76" s="8">
        <v>0</v>
      </c>
      <c r="Q76" s="8">
        <v>0</v>
      </c>
      <c r="R76" s="8">
        <v>0</v>
      </c>
      <c r="S76" s="8">
        <v>0</v>
      </c>
      <c r="T76" s="8">
        <v>0</v>
      </c>
      <c r="U76" s="8">
        <v>0</v>
      </c>
      <c r="V76" s="8">
        <v>0</v>
      </c>
      <c r="W76" s="8">
        <v>0</v>
      </c>
      <c r="X76" s="8">
        <v>0</v>
      </c>
      <c r="Y76" s="8">
        <v>0</v>
      </c>
      <c r="Z76" s="8">
        <v>0</v>
      </c>
      <c r="AA76" s="8">
        <v>0</v>
      </c>
      <c r="AB76" s="8">
        <v>0</v>
      </c>
      <c r="AC76" s="8">
        <v>0.25</v>
      </c>
      <c r="AD76" s="8">
        <v>0.75</v>
      </c>
    </row>
    <row r="77" spans="1:30" ht="37.5" hidden="1" x14ac:dyDescent="0.25">
      <c r="A77" s="6">
        <v>1081</v>
      </c>
      <c r="B77" s="7" t="s">
        <v>139</v>
      </c>
      <c r="C77" s="7" t="s">
        <v>135</v>
      </c>
      <c r="D77" s="8">
        <v>1.6916299559471371E-2</v>
      </c>
      <c r="E77" s="7" t="s">
        <v>140</v>
      </c>
      <c r="F77" s="7" t="str">
        <f t="shared" si="1"/>
        <v>Wk1</v>
      </c>
      <c r="G77" s="8">
        <v>0</v>
      </c>
      <c r="H77" s="8">
        <v>0</v>
      </c>
      <c r="I77" s="8">
        <v>0</v>
      </c>
      <c r="J77" s="8">
        <v>0</v>
      </c>
      <c r="K77" s="8">
        <v>0</v>
      </c>
      <c r="L77" s="8">
        <v>0</v>
      </c>
      <c r="M77" s="8">
        <v>0.25</v>
      </c>
      <c r="N77" s="8">
        <v>1</v>
      </c>
      <c r="O77" s="8">
        <v>1</v>
      </c>
      <c r="P77" s="8">
        <v>0.25</v>
      </c>
      <c r="Q77" s="8">
        <v>0</v>
      </c>
      <c r="R77" s="8">
        <v>0</v>
      </c>
      <c r="S77" s="8">
        <v>0</v>
      </c>
      <c r="T77" s="8">
        <v>0</v>
      </c>
      <c r="U77" s="8">
        <v>0</v>
      </c>
      <c r="V77" s="8">
        <v>0</v>
      </c>
      <c r="W77" s="8">
        <v>0</v>
      </c>
      <c r="X77" s="8">
        <v>0</v>
      </c>
      <c r="Y77" s="8">
        <v>0.5</v>
      </c>
      <c r="Z77" s="8">
        <v>1</v>
      </c>
      <c r="AA77" s="8">
        <v>1</v>
      </c>
      <c r="AB77" s="8">
        <v>0.3</v>
      </c>
      <c r="AC77" s="8">
        <v>0</v>
      </c>
      <c r="AD77" s="8">
        <v>0</v>
      </c>
    </row>
    <row r="78" spans="1:30" ht="37.5" hidden="1" x14ac:dyDescent="0.25">
      <c r="A78" s="6">
        <v>1082</v>
      </c>
      <c r="B78" s="7" t="s">
        <v>141</v>
      </c>
      <c r="C78" s="7" t="s">
        <v>135</v>
      </c>
      <c r="D78" s="8">
        <v>2.4317180616740097E-2</v>
      </c>
      <c r="E78" s="7" t="s">
        <v>142</v>
      </c>
      <c r="F78" s="7" t="str">
        <f t="shared" si="1"/>
        <v>Wk1</v>
      </c>
      <c r="G78" s="8">
        <v>0</v>
      </c>
      <c r="H78" s="8">
        <v>0</v>
      </c>
      <c r="I78" s="8">
        <v>0</v>
      </c>
      <c r="J78" s="8">
        <v>0</v>
      </c>
      <c r="K78" s="8">
        <v>0</v>
      </c>
      <c r="L78" s="8">
        <v>0</v>
      </c>
      <c r="M78" s="8">
        <v>0.25</v>
      </c>
      <c r="N78" s="8">
        <v>1</v>
      </c>
      <c r="O78" s="8">
        <v>1</v>
      </c>
      <c r="P78" s="8">
        <v>0.25</v>
      </c>
      <c r="Q78" s="8">
        <v>0</v>
      </c>
      <c r="R78" s="8">
        <v>0</v>
      </c>
      <c r="S78" s="8">
        <v>0</v>
      </c>
      <c r="T78" s="8">
        <v>0</v>
      </c>
      <c r="U78" s="8">
        <v>0</v>
      </c>
      <c r="V78" s="8">
        <v>0</v>
      </c>
      <c r="W78" s="8">
        <v>0</v>
      </c>
      <c r="X78" s="8">
        <v>0</v>
      </c>
      <c r="Y78" s="8">
        <v>0.5</v>
      </c>
      <c r="Z78" s="8">
        <v>1</v>
      </c>
      <c r="AA78" s="8">
        <v>1</v>
      </c>
      <c r="AB78" s="8">
        <v>0.3</v>
      </c>
      <c r="AC78" s="8">
        <v>0</v>
      </c>
      <c r="AD78" s="8">
        <v>0</v>
      </c>
    </row>
    <row r="79" spans="1:30" ht="37.5" hidden="1" x14ac:dyDescent="0.25">
      <c r="A79" s="6">
        <v>1083</v>
      </c>
      <c r="B79" s="7" t="s">
        <v>143</v>
      </c>
      <c r="C79" s="7" t="s">
        <v>135</v>
      </c>
      <c r="D79" s="8">
        <v>2.3703703703703706E-2</v>
      </c>
      <c r="E79" s="7" t="s">
        <v>144</v>
      </c>
      <c r="F79" s="7" t="str">
        <f t="shared" si="1"/>
        <v>Wk1</v>
      </c>
      <c r="G79" s="8">
        <v>0</v>
      </c>
      <c r="H79" s="8">
        <v>0</v>
      </c>
      <c r="I79" s="8">
        <v>0</v>
      </c>
      <c r="J79" s="8">
        <v>0</v>
      </c>
      <c r="K79" s="8">
        <v>0</v>
      </c>
      <c r="L79" s="8">
        <v>0</v>
      </c>
      <c r="M79" s="8">
        <v>0</v>
      </c>
      <c r="N79" s="8">
        <v>1</v>
      </c>
      <c r="O79" s="8">
        <v>1</v>
      </c>
      <c r="P79" s="8">
        <v>1</v>
      </c>
      <c r="Q79" s="8">
        <v>0</v>
      </c>
      <c r="R79" s="8">
        <v>0</v>
      </c>
      <c r="S79" s="8">
        <v>0</v>
      </c>
      <c r="T79" s="8">
        <v>0</v>
      </c>
      <c r="U79" s="8">
        <v>0</v>
      </c>
      <c r="V79" s="8">
        <v>0</v>
      </c>
      <c r="W79" s="8">
        <v>0</v>
      </c>
      <c r="X79" s="8">
        <v>0</v>
      </c>
      <c r="Y79" s="8">
        <v>0</v>
      </c>
      <c r="Z79" s="8">
        <v>0.2</v>
      </c>
      <c r="AA79" s="8">
        <v>0.2</v>
      </c>
      <c r="AB79" s="8">
        <v>0.2</v>
      </c>
      <c r="AC79" s="8">
        <v>0.2</v>
      </c>
      <c r="AD79" s="8">
        <v>0</v>
      </c>
    </row>
    <row r="80" spans="1:30" ht="50" hidden="1" x14ac:dyDescent="0.25">
      <c r="A80" s="6">
        <v>1084</v>
      </c>
      <c r="B80" s="7" t="s">
        <v>145</v>
      </c>
      <c r="C80" s="7" t="s">
        <v>135</v>
      </c>
      <c r="D80" s="8">
        <v>1.5503875968992243E-2</v>
      </c>
      <c r="E80" s="7" t="s">
        <v>146</v>
      </c>
      <c r="F80" s="7" t="str">
        <f t="shared" si="1"/>
        <v>Wk1</v>
      </c>
      <c r="G80" s="8">
        <v>0</v>
      </c>
      <c r="H80" s="8">
        <v>0</v>
      </c>
      <c r="I80" s="8">
        <v>0</v>
      </c>
      <c r="J80" s="8">
        <v>0</v>
      </c>
      <c r="K80" s="8">
        <v>0</v>
      </c>
      <c r="L80" s="8">
        <v>0</v>
      </c>
      <c r="M80" s="8">
        <v>0</v>
      </c>
      <c r="N80" s="8">
        <v>1</v>
      </c>
      <c r="O80" s="8">
        <v>1</v>
      </c>
      <c r="P80" s="8">
        <v>1</v>
      </c>
      <c r="Q80" s="8">
        <v>0</v>
      </c>
      <c r="R80" s="8">
        <v>0</v>
      </c>
      <c r="S80" s="8">
        <v>0</v>
      </c>
      <c r="T80" s="8">
        <v>0</v>
      </c>
      <c r="U80" s="8">
        <v>0</v>
      </c>
      <c r="V80" s="8">
        <v>0</v>
      </c>
      <c r="W80" s="8">
        <v>0</v>
      </c>
      <c r="X80" s="8">
        <v>0</v>
      </c>
      <c r="Y80" s="8">
        <v>0</v>
      </c>
      <c r="Z80" s="8">
        <v>0.2</v>
      </c>
      <c r="AA80" s="8">
        <v>0.2</v>
      </c>
      <c r="AB80" s="8">
        <v>0.2</v>
      </c>
      <c r="AC80" s="8">
        <v>0.2</v>
      </c>
      <c r="AD80" s="8">
        <v>0</v>
      </c>
    </row>
    <row r="81" spans="1:30" ht="37.5" hidden="1" x14ac:dyDescent="0.25">
      <c r="A81" s="6">
        <v>1085</v>
      </c>
      <c r="B81" s="7" t="s">
        <v>147</v>
      </c>
      <c r="C81" s="7" t="s">
        <v>135</v>
      </c>
      <c r="D81" s="8">
        <v>1.8736842105263163E-2</v>
      </c>
      <c r="E81" s="7" t="s">
        <v>148</v>
      </c>
      <c r="F81" s="7" t="str">
        <f t="shared" si="1"/>
        <v>Wk1</v>
      </c>
      <c r="G81" s="8">
        <v>0</v>
      </c>
      <c r="H81" s="8">
        <v>0</v>
      </c>
      <c r="I81" s="8">
        <v>0</v>
      </c>
      <c r="J81" s="8">
        <v>0</v>
      </c>
      <c r="K81" s="8">
        <v>0</v>
      </c>
      <c r="L81" s="8">
        <v>0</v>
      </c>
      <c r="M81" s="8">
        <v>0</v>
      </c>
      <c r="N81" s="8">
        <v>1</v>
      </c>
      <c r="O81" s="8">
        <v>1</v>
      </c>
      <c r="P81" s="8">
        <v>1</v>
      </c>
      <c r="Q81" s="8">
        <v>0</v>
      </c>
      <c r="R81" s="8">
        <v>0</v>
      </c>
      <c r="S81" s="8">
        <v>0</v>
      </c>
      <c r="T81" s="8">
        <v>0</v>
      </c>
      <c r="U81" s="8">
        <v>0</v>
      </c>
      <c r="V81" s="8">
        <v>0</v>
      </c>
      <c r="W81" s="8">
        <v>0</v>
      </c>
      <c r="X81" s="8">
        <v>0</v>
      </c>
      <c r="Y81" s="8">
        <v>0</v>
      </c>
      <c r="Z81" s="8">
        <v>0.2</v>
      </c>
      <c r="AA81" s="8">
        <v>0.2</v>
      </c>
      <c r="AB81" s="8">
        <v>0.2</v>
      </c>
      <c r="AC81" s="8">
        <v>0.2</v>
      </c>
      <c r="AD81" s="8">
        <v>0</v>
      </c>
    </row>
    <row r="82" spans="1:30" ht="50" hidden="1" x14ac:dyDescent="0.25">
      <c r="A82" s="6">
        <v>1086</v>
      </c>
      <c r="B82" s="7" t="s">
        <v>149</v>
      </c>
      <c r="C82" s="7" t="s">
        <v>135</v>
      </c>
      <c r="D82" s="8">
        <v>1.9646017699115035E-2</v>
      </c>
      <c r="E82" s="7" t="s">
        <v>150</v>
      </c>
      <c r="F82" s="7" t="str">
        <f t="shared" si="1"/>
        <v>Wk1</v>
      </c>
      <c r="G82" s="8">
        <v>0</v>
      </c>
      <c r="H82" s="8">
        <v>0</v>
      </c>
      <c r="I82" s="8">
        <v>0</v>
      </c>
      <c r="J82" s="8">
        <v>0</v>
      </c>
      <c r="K82" s="8">
        <v>0</v>
      </c>
      <c r="L82" s="8">
        <v>0</v>
      </c>
      <c r="M82" s="8">
        <v>0</v>
      </c>
      <c r="N82" s="8">
        <v>0.5</v>
      </c>
      <c r="O82" s="8">
        <v>1</v>
      </c>
      <c r="P82" s="8">
        <v>0.5</v>
      </c>
      <c r="Q82" s="8">
        <v>0</v>
      </c>
      <c r="R82" s="8">
        <v>0</v>
      </c>
      <c r="S82" s="8">
        <v>0</v>
      </c>
      <c r="T82" s="8">
        <v>0</v>
      </c>
      <c r="U82" s="8">
        <v>0</v>
      </c>
      <c r="V82" s="8">
        <v>0</v>
      </c>
      <c r="W82" s="8">
        <v>0</v>
      </c>
      <c r="X82" s="8">
        <v>0.25</v>
      </c>
      <c r="Y82" s="8">
        <v>0.5</v>
      </c>
      <c r="Z82" s="8">
        <v>0.75</v>
      </c>
      <c r="AA82" s="8">
        <v>1</v>
      </c>
      <c r="AB82" s="8">
        <v>1</v>
      </c>
      <c r="AC82" s="8">
        <v>0.75</v>
      </c>
      <c r="AD82" s="8">
        <v>0.25</v>
      </c>
    </row>
    <row r="83" spans="1:30" ht="37.5" hidden="1" x14ac:dyDescent="0.25">
      <c r="A83" s="6">
        <v>1087</v>
      </c>
      <c r="B83" s="7" t="s">
        <v>38</v>
      </c>
      <c r="C83" s="7" t="s">
        <v>151</v>
      </c>
      <c r="D83" s="8">
        <v>0.10153846153846156</v>
      </c>
      <c r="E83" s="7" t="s">
        <v>152</v>
      </c>
      <c r="F83" s="7" t="str">
        <f t="shared" si="1"/>
        <v>WK1</v>
      </c>
      <c r="G83" s="8">
        <v>0</v>
      </c>
      <c r="H83" s="8">
        <v>0</v>
      </c>
      <c r="I83" s="8">
        <v>0</v>
      </c>
      <c r="J83" s="8">
        <v>0</v>
      </c>
      <c r="K83" s="8">
        <v>0</v>
      </c>
      <c r="L83" s="8">
        <v>0</v>
      </c>
      <c r="M83" s="8">
        <v>0</v>
      </c>
      <c r="N83" s="8">
        <v>1</v>
      </c>
      <c r="O83" s="8">
        <v>1</v>
      </c>
      <c r="P83" s="8">
        <v>1</v>
      </c>
      <c r="Q83" s="8">
        <v>1</v>
      </c>
      <c r="R83" s="8">
        <v>1</v>
      </c>
      <c r="S83" s="8">
        <v>1</v>
      </c>
      <c r="T83" s="8">
        <v>1</v>
      </c>
      <c r="U83" s="8">
        <v>1</v>
      </c>
      <c r="V83" s="8">
        <v>1</v>
      </c>
      <c r="W83" s="8">
        <v>1</v>
      </c>
      <c r="X83" s="8">
        <v>1</v>
      </c>
      <c r="Y83" s="8">
        <v>1</v>
      </c>
      <c r="Z83" s="8">
        <v>1</v>
      </c>
      <c r="AA83" s="8">
        <v>0</v>
      </c>
      <c r="AB83" s="8">
        <v>0</v>
      </c>
      <c r="AC83" s="8">
        <v>0</v>
      </c>
      <c r="AD83" s="8">
        <v>0</v>
      </c>
    </row>
    <row r="84" spans="1:30" ht="37.5" hidden="1" x14ac:dyDescent="0.25">
      <c r="A84" s="6">
        <v>1088</v>
      </c>
      <c r="B84" s="7" t="s">
        <v>153</v>
      </c>
      <c r="C84" s="7" t="s">
        <v>151</v>
      </c>
      <c r="D84" s="8">
        <v>0.11354838709677421</v>
      </c>
      <c r="E84" s="7" t="s">
        <v>154</v>
      </c>
      <c r="F84" s="7" t="str">
        <f t="shared" si="1"/>
        <v>WK1</v>
      </c>
      <c r="G84" s="8">
        <v>0</v>
      </c>
      <c r="H84" s="8">
        <v>0</v>
      </c>
      <c r="I84" s="8">
        <v>0</v>
      </c>
      <c r="J84" s="8">
        <v>0</v>
      </c>
      <c r="K84" s="8">
        <v>0</v>
      </c>
      <c r="L84" s="8">
        <v>0</v>
      </c>
      <c r="M84" s="8">
        <v>0</v>
      </c>
      <c r="N84" s="8">
        <v>1</v>
      </c>
      <c r="O84" s="8">
        <v>1</v>
      </c>
      <c r="P84" s="8">
        <v>1</v>
      </c>
      <c r="Q84" s="8">
        <v>1</v>
      </c>
      <c r="R84" s="8">
        <v>1</v>
      </c>
      <c r="S84" s="8">
        <v>1</v>
      </c>
      <c r="T84" s="8">
        <v>1</v>
      </c>
      <c r="U84" s="8">
        <v>1</v>
      </c>
      <c r="V84" s="8">
        <v>1</v>
      </c>
      <c r="W84" s="8">
        <v>1</v>
      </c>
      <c r="X84" s="8">
        <v>1</v>
      </c>
      <c r="Y84" s="8">
        <v>1</v>
      </c>
      <c r="Z84" s="8">
        <v>1</v>
      </c>
      <c r="AA84" s="8">
        <v>0</v>
      </c>
      <c r="AB84" s="8">
        <v>0</v>
      </c>
      <c r="AC84" s="8">
        <v>0</v>
      </c>
      <c r="AD84" s="8">
        <v>0</v>
      </c>
    </row>
    <row r="85" spans="1:30" ht="37.5" hidden="1" x14ac:dyDescent="0.25">
      <c r="A85" s="6">
        <v>1089</v>
      </c>
      <c r="B85" s="7" t="s">
        <v>43</v>
      </c>
      <c r="C85" s="7" t="s">
        <v>151</v>
      </c>
      <c r="D85" s="8">
        <v>0.11770000000000003</v>
      </c>
      <c r="E85" s="7" t="s">
        <v>155</v>
      </c>
      <c r="F85" s="7" t="str">
        <f t="shared" si="1"/>
        <v>WK1</v>
      </c>
      <c r="G85" s="8">
        <v>0</v>
      </c>
      <c r="H85" s="8">
        <v>0</v>
      </c>
      <c r="I85" s="8">
        <v>0</v>
      </c>
      <c r="J85" s="8">
        <v>0</v>
      </c>
      <c r="K85" s="8">
        <v>0</v>
      </c>
      <c r="L85" s="8">
        <v>0</v>
      </c>
      <c r="M85" s="8">
        <v>0</v>
      </c>
      <c r="N85" s="8">
        <v>0</v>
      </c>
      <c r="O85" s="8">
        <v>1</v>
      </c>
      <c r="P85" s="8">
        <v>1</v>
      </c>
      <c r="Q85" s="8">
        <v>1</v>
      </c>
      <c r="R85" s="8">
        <v>1</v>
      </c>
      <c r="S85" s="8">
        <v>1</v>
      </c>
      <c r="T85" s="8">
        <v>1</v>
      </c>
      <c r="U85" s="8">
        <v>1</v>
      </c>
      <c r="V85" s="8">
        <v>1</v>
      </c>
      <c r="W85" s="8">
        <v>1</v>
      </c>
      <c r="X85" s="8">
        <v>1</v>
      </c>
      <c r="Y85" s="8">
        <v>0</v>
      </c>
      <c r="Z85" s="8">
        <v>0</v>
      </c>
      <c r="AA85" s="8">
        <v>0</v>
      </c>
      <c r="AB85" s="8">
        <v>0</v>
      </c>
      <c r="AC85" s="8">
        <v>0</v>
      </c>
      <c r="AD85" s="8">
        <v>0</v>
      </c>
    </row>
    <row r="86" spans="1:30" ht="37.5" hidden="1" x14ac:dyDescent="0.25">
      <c r="A86" s="6">
        <v>1090</v>
      </c>
      <c r="B86" s="7" t="s">
        <v>45</v>
      </c>
      <c r="C86" s="7" t="s">
        <v>151</v>
      </c>
      <c r="D86" s="8">
        <v>0.15166666666666673</v>
      </c>
      <c r="E86" s="7" t="s">
        <v>156</v>
      </c>
      <c r="F86" s="7" t="str">
        <f t="shared" si="1"/>
        <v>WK1</v>
      </c>
      <c r="G86" s="8">
        <v>0</v>
      </c>
      <c r="H86" s="8">
        <v>0</v>
      </c>
      <c r="I86" s="8">
        <v>0</v>
      </c>
      <c r="J86" s="8">
        <v>0</v>
      </c>
      <c r="K86" s="8">
        <v>0</v>
      </c>
      <c r="L86" s="8">
        <v>0</v>
      </c>
      <c r="M86" s="8">
        <v>0</v>
      </c>
      <c r="N86" s="8">
        <v>0.25</v>
      </c>
      <c r="O86" s="8">
        <v>0.5</v>
      </c>
      <c r="P86" s="8">
        <v>1</v>
      </c>
      <c r="Q86" s="8">
        <v>1</v>
      </c>
      <c r="R86" s="8">
        <v>1</v>
      </c>
      <c r="S86" s="8">
        <v>0.75</v>
      </c>
      <c r="T86" s="8">
        <v>0.75</v>
      </c>
      <c r="U86" s="8">
        <v>1</v>
      </c>
      <c r="V86" s="8">
        <v>1</v>
      </c>
      <c r="W86" s="8">
        <v>1</v>
      </c>
      <c r="X86" s="8">
        <v>0.5</v>
      </c>
      <c r="Y86" s="8">
        <v>0.25</v>
      </c>
      <c r="Z86" s="8">
        <v>0</v>
      </c>
      <c r="AA86" s="8">
        <v>0</v>
      </c>
      <c r="AB86" s="8">
        <v>0</v>
      </c>
      <c r="AC86" s="8">
        <v>0</v>
      </c>
      <c r="AD86" s="8">
        <v>0</v>
      </c>
    </row>
    <row r="87" spans="1:30" ht="37.5" hidden="1" x14ac:dyDescent="0.25">
      <c r="A87" s="6">
        <v>1093</v>
      </c>
      <c r="B87" s="7" t="s">
        <v>157</v>
      </c>
      <c r="C87" s="7" t="s">
        <v>151</v>
      </c>
      <c r="D87" s="8">
        <v>0.05</v>
      </c>
      <c r="E87" s="7" t="s">
        <v>158</v>
      </c>
      <c r="F87" s="7" t="str">
        <f t="shared" si="1"/>
        <v>WK1</v>
      </c>
      <c r="G87" s="8">
        <v>0</v>
      </c>
      <c r="H87" s="8">
        <v>0</v>
      </c>
      <c r="I87" s="8">
        <v>0</v>
      </c>
      <c r="J87" s="8">
        <v>0</v>
      </c>
      <c r="K87" s="8">
        <v>0</v>
      </c>
      <c r="L87" s="8">
        <v>0</v>
      </c>
      <c r="M87" s="8">
        <v>0</v>
      </c>
      <c r="N87" s="8">
        <v>1</v>
      </c>
      <c r="O87" s="8">
        <v>1</v>
      </c>
      <c r="P87" s="8">
        <v>1</v>
      </c>
      <c r="Q87" s="8">
        <v>1</v>
      </c>
      <c r="R87" s="8">
        <v>1</v>
      </c>
      <c r="S87" s="8">
        <v>1</v>
      </c>
      <c r="T87" s="8">
        <v>1</v>
      </c>
      <c r="U87" s="8">
        <v>1</v>
      </c>
      <c r="V87" s="8">
        <v>1</v>
      </c>
      <c r="W87" s="8">
        <v>1</v>
      </c>
      <c r="X87" s="8">
        <v>1</v>
      </c>
      <c r="Y87" s="8">
        <v>1</v>
      </c>
      <c r="Z87" s="8">
        <v>1</v>
      </c>
      <c r="AA87" s="8">
        <v>1</v>
      </c>
      <c r="AB87" s="8">
        <v>0</v>
      </c>
      <c r="AC87" s="8">
        <v>0</v>
      </c>
      <c r="AD87" s="8">
        <v>0</v>
      </c>
    </row>
    <row r="88" spans="1:30" ht="37.5" x14ac:dyDescent="0.25">
      <c r="A88" s="6">
        <v>1094</v>
      </c>
      <c r="B88" s="7" t="s">
        <v>57</v>
      </c>
      <c r="C88" s="7" t="s">
        <v>151</v>
      </c>
      <c r="D88" s="8">
        <v>0.35</v>
      </c>
      <c r="E88" s="7" t="s">
        <v>159</v>
      </c>
      <c r="F88" s="7" t="str">
        <f t="shared" si="1"/>
        <v>WK1</v>
      </c>
      <c r="G88" s="8">
        <v>0</v>
      </c>
      <c r="H88" s="8">
        <v>0</v>
      </c>
      <c r="I88" s="8">
        <v>0</v>
      </c>
      <c r="J88" s="8">
        <v>0</v>
      </c>
      <c r="K88" s="8">
        <v>0</v>
      </c>
      <c r="L88" s="8">
        <v>0</v>
      </c>
      <c r="M88" s="8">
        <v>0.25</v>
      </c>
      <c r="N88" s="8">
        <v>1</v>
      </c>
      <c r="O88" s="8">
        <v>1</v>
      </c>
      <c r="P88" s="8">
        <v>0.25</v>
      </c>
      <c r="Q88" s="8">
        <v>0</v>
      </c>
      <c r="R88" s="8">
        <v>0.25</v>
      </c>
      <c r="S88" s="8">
        <v>1</v>
      </c>
      <c r="T88" s="8">
        <v>1</v>
      </c>
      <c r="U88" s="8">
        <v>0.5</v>
      </c>
      <c r="V88" s="8">
        <v>0</v>
      </c>
      <c r="W88" s="8">
        <v>0</v>
      </c>
      <c r="X88" s="8">
        <v>0.5</v>
      </c>
      <c r="Y88" s="8">
        <v>1</v>
      </c>
      <c r="Z88" s="8">
        <v>1</v>
      </c>
      <c r="AA88" s="8">
        <v>0.5</v>
      </c>
      <c r="AB88" s="8">
        <v>0</v>
      </c>
      <c r="AC88" s="8">
        <v>0</v>
      </c>
      <c r="AD88" s="8">
        <v>0</v>
      </c>
    </row>
    <row r="89" spans="1:30" ht="37.5" hidden="1" x14ac:dyDescent="0.25">
      <c r="A89" s="6">
        <v>1095</v>
      </c>
      <c r="B89" s="7" t="s">
        <v>55</v>
      </c>
      <c r="C89" s="7" t="s">
        <v>151</v>
      </c>
      <c r="D89" s="8">
        <v>0.16100000000000006</v>
      </c>
      <c r="E89" s="7" t="s">
        <v>160</v>
      </c>
      <c r="F89" s="7" t="str">
        <f t="shared" si="1"/>
        <v>WK1</v>
      </c>
      <c r="G89" s="8">
        <v>0</v>
      </c>
      <c r="H89" s="8">
        <v>0</v>
      </c>
      <c r="I89" s="8">
        <v>0</v>
      </c>
      <c r="J89" s="8">
        <v>0</v>
      </c>
      <c r="K89" s="8">
        <v>0</v>
      </c>
      <c r="L89" s="8">
        <v>0</v>
      </c>
      <c r="M89" s="8">
        <v>0</v>
      </c>
      <c r="N89" s="8">
        <v>0</v>
      </c>
      <c r="O89" s="8">
        <v>1</v>
      </c>
      <c r="P89" s="8">
        <v>1</v>
      </c>
      <c r="Q89" s="8">
        <v>1</v>
      </c>
      <c r="R89" s="8">
        <v>1</v>
      </c>
      <c r="S89" s="8">
        <v>1</v>
      </c>
      <c r="T89" s="8">
        <v>1</v>
      </c>
      <c r="U89" s="8">
        <v>1</v>
      </c>
      <c r="V89" s="8">
        <v>1</v>
      </c>
      <c r="W89" s="8">
        <v>1</v>
      </c>
      <c r="X89" s="8">
        <v>1</v>
      </c>
      <c r="Y89" s="8">
        <v>0</v>
      </c>
      <c r="Z89" s="8">
        <v>0</v>
      </c>
      <c r="AA89" s="8">
        <v>0</v>
      </c>
      <c r="AB89" s="8">
        <v>0</v>
      </c>
      <c r="AC89" s="8">
        <v>0</v>
      </c>
      <c r="AD89" s="8">
        <v>0</v>
      </c>
    </row>
    <row r="90" spans="1:30" ht="37.5" hidden="1" x14ac:dyDescent="0.25">
      <c r="A90" s="6">
        <v>1096</v>
      </c>
      <c r="B90" s="7" t="s">
        <v>47</v>
      </c>
      <c r="C90" s="7" t="s">
        <v>151</v>
      </c>
      <c r="D90" s="8">
        <v>0.10153846153846156</v>
      </c>
      <c r="E90" s="7" t="s">
        <v>161</v>
      </c>
      <c r="F90" s="7" t="str">
        <f t="shared" si="1"/>
        <v>WK1</v>
      </c>
      <c r="G90" s="8">
        <v>0</v>
      </c>
      <c r="H90" s="8">
        <v>0</v>
      </c>
      <c r="I90" s="8">
        <v>0</v>
      </c>
      <c r="J90" s="8">
        <v>0</v>
      </c>
      <c r="K90" s="8">
        <v>0</v>
      </c>
      <c r="L90" s="8">
        <v>0</v>
      </c>
      <c r="M90" s="8">
        <v>0</v>
      </c>
      <c r="N90" s="8">
        <v>0</v>
      </c>
      <c r="O90" s="8">
        <v>0</v>
      </c>
      <c r="P90" s="8">
        <v>0</v>
      </c>
      <c r="Q90" s="8">
        <v>0</v>
      </c>
      <c r="R90" s="8">
        <v>0</v>
      </c>
      <c r="S90" s="8">
        <v>0</v>
      </c>
      <c r="T90" s="8">
        <v>0</v>
      </c>
      <c r="U90" s="8">
        <v>0</v>
      </c>
      <c r="V90" s="8">
        <v>0</v>
      </c>
      <c r="W90" s="8">
        <v>0</v>
      </c>
      <c r="X90" s="8">
        <v>0</v>
      </c>
      <c r="Y90" s="8">
        <v>0</v>
      </c>
      <c r="Z90" s="8">
        <v>0</v>
      </c>
      <c r="AA90" s="8">
        <v>0</v>
      </c>
      <c r="AB90" s="8">
        <v>0</v>
      </c>
      <c r="AC90" s="8">
        <v>0</v>
      </c>
      <c r="AD90" s="8">
        <v>0</v>
      </c>
    </row>
    <row r="91" spans="1:30" ht="50" hidden="1" x14ac:dyDescent="0.25">
      <c r="A91" s="6">
        <v>1097</v>
      </c>
      <c r="B91" s="7" t="s">
        <v>162</v>
      </c>
      <c r="C91" s="7" t="s">
        <v>151</v>
      </c>
      <c r="D91" s="8">
        <v>0.2</v>
      </c>
      <c r="E91" s="7" t="s">
        <v>163</v>
      </c>
      <c r="F91" s="7" t="str">
        <f t="shared" si="1"/>
        <v>Wk1</v>
      </c>
      <c r="G91" s="8">
        <v>0</v>
      </c>
      <c r="H91" s="8">
        <v>0</v>
      </c>
      <c r="I91" s="8">
        <v>0</v>
      </c>
      <c r="J91" s="8">
        <v>0</v>
      </c>
      <c r="K91" s="8">
        <v>0</v>
      </c>
      <c r="L91" s="8">
        <v>0</v>
      </c>
      <c r="M91" s="8">
        <v>0</v>
      </c>
      <c r="N91" s="8">
        <v>0</v>
      </c>
      <c r="O91" s="8">
        <v>0</v>
      </c>
      <c r="P91" s="8">
        <v>0.75</v>
      </c>
      <c r="Q91" s="8">
        <v>1</v>
      </c>
      <c r="R91" s="8">
        <v>1</v>
      </c>
      <c r="S91" s="8">
        <v>0.75</v>
      </c>
      <c r="T91" s="8">
        <v>0.75</v>
      </c>
      <c r="U91" s="8">
        <v>1</v>
      </c>
      <c r="V91" s="8">
        <v>1</v>
      </c>
      <c r="W91" s="8">
        <v>1</v>
      </c>
      <c r="X91" s="8">
        <v>0.75</v>
      </c>
      <c r="Y91" s="8">
        <v>0</v>
      </c>
      <c r="Z91" s="8">
        <v>0</v>
      </c>
      <c r="AA91" s="8">
        <v>0</v>
      </c>
      <c r="AB91" s="8">
        <v>0</v>
      </c>
      <c r="AC91" s="8">
        <v>0</v>
      </c>
      <c r="AD91" s="8">
        <v>0</v>
      </c>
    </row>
    <row r="92" spans="1:30" ht="37.5" hidden="1" x14ac:dyDescent="0.25">
      <c r="A92" s="6">
        <v>1098</v>
      </c>
      <c r="B92" s="7" t="s">
        <v>164</v>
      </c>
      <c r="C92" s="7" t="s">
        <v>151</v>
      </c>
      <c r="D92" s="8">
        <v>0.10468571428571431</v>
      </c>
      <c r="E92" s="7" t="s">
        <v>165</v>
      </c>
      <c r="F92" s="7" t="str">
        <f t="shared" si="1"/>
        <v>WK1</v>
      </c>
      <c r="G92" s="8">
        <v>1</v>
      </c>
      <c r="H92" s="8">
        <v>1</v>
      </c>
      <c r="I92" s="8">
        <v>1</v>
      </c>
      <c r="J92" s="8">
        <v>1</v>
      </c>
      <c r="K92" s="8">
        <v>1</v>
      </c>
      <c r="L92" s="8">
        <v>1</v>
      </c>
      <c r="M92" s="8">
        <v>1</v>
      </c>
      <c r="N92" s="8">
        <v>0.5</v>
      </c>
      <c r="O92" s="8">
        <v>0.25</v>
      </c>
      <c r="P92" s="8">
        <v>0</v>
      </c>
      <c r="Q92" s="8">
        <v>0</v>
      </c>
      <c r="R92" s="8">
        <v>0</v>
      </c>
      <c r="S92" s="8">
        <v>0</v>
      </c>
      <c r="T92" s="8">
        <v>0</v>
      </c>
      <c r="U92" s="8">
        <v>0</v>
      </c>
      <c r="V92" s="8">
        <v>0</v>
      </c>
      <c r="W92" s="8">
        <v>0</v>
      </c>
      <c r="X92" s="8">
        <v>0</v>
      </c>
      <c r="Y92" s="8">
        <v>0</v>
      </c>
      <c r="Z92" s="8">
        <v>0</v>
      </c>
      <c r="AA92" s="8">
        <v>0</v>
      </c>
      <c r="AB92" s="8">
        <v>0</v>
      </c>
      <c r="AC92" s="8">
        <v>0.25</v>
      </c>
      <c r="AD92" s="8">
        <v>0.75</v>
      </c>
    </row>
    <row r="93" spans="1:30" ht="37.5" hidden="1" x14ac:dyDescent="0.25">
      <c r="A93" s="6">
        <v>1099</v>
      </c>
      <c r="B93" s="7" t="s">
        <v>61</v>
      </c>
      <c r="C93" s="7" t="s">
        <v>151</v>
      </c>
      <c r="D93" s="8">
        <v>0.11733333333333335</v>
      </c>
      <c r="E93" s="7" t="s">
        <v>166</v>
      </c>
      <c r="F93" s="7" t="str">
        <f t="shared" si="1"/>
        <v>Wk1</v>
      </c>
      <c r="G93" s="8">
        <v>0</v>
      </c>
      <c r="H93" s="8">
        <v>0</v>
      </c>
      <c r="I93" s="8">
        <v>0</v>
      </c>
      <c r="J93" s="8">
        <v>0</v>
      </c>
      <c r="K93" s="8">
        <v>0</v>
      </c>
      <c r="L93" s="8">
        <v>0</v>
      </c>
      <c r="M93" s="8">
        <v>0</v>
      </c>
      <c r="N93" s="8">
        <v>0.25</v>
      </c>
      <c r="O93" s="8">
        <v>0.5</v>
      </c>
      <c r="P93" s="8">
        <v>1</v>
      </c>
      <c r="Q93" s="8">
        <v>1</v>
      </c>
      <c r="R93" s="8">
        <v>1</v>
      </c>
      <c r="S93" s="8">
        <v>0.75</v>
      </c>
      <c r="T93" s="8">
        <v>0.75</v>
      </c>
      <c r="U93" s="8">
        <v>1</v>
      </c>
      <c r="V93" s="8">
        <v>1</v>
      </c>
      <c r="W93" s="8">
        <v>1</v>
      </c>
      <c r="X93" s="8">
        <v>0.5</v>
      </c>
      <c r="Y93" s="8">
        <v>0.25</v>
      </c>
      <c r="Z93" s="8">
        <v>0</v>
      </c>
      <c r="AA93" s="8">
        <v>0</v>
      </c>
      <c r="AB93" s="8">
        <v>0</v>
      </c>
      <c r="AC93" s="8">
        <v>0</v>
      </c>
      <c r="AD93" s="8">
        <v>0</v>
      </c>
    </row>
    <row r="94" spans="1:30" ht="37.5" hidden="1" x14ac:dyDescent="0.25">
      <c r="A94" s="6">
        <v>1100</v>
      </c>
      <c r="B94" s="7" t="s">
        <v>167</v>
      </c>
      <c r="C94" s="7" t="s">
        <v>151</v>
      </c>
      <c r="D94" s="8">
        <v>0</v>
      </c>
      <c r="E94" s="7" t="s">
        <v>168</v>
      </c>
      <c r="F94" s="7" t="str">
        <f t="shared" si="1"/>
        <v>WK1</v>
      </c>
      <c r="G94" s="8">
        <v>1</v>
      </c>
      <c r="H94" s="8">
        <v>1</v>
      </c>
      <c r="I94" s="8">
        <v>1</v>
      </c>
      <c r="J94" s="8">
        <v>1</v>
      </c>
      <c r="K94" s="8">
        <v>1</v>
      </c>
      <c r="L94" s="8">
        <v>1</v>
      </c>
      <c r="M94" s="8">
        <v>1</v>
      </c>
      <c r="N94" s="8">
        <v>1</v>
      </c>
      <c r="O94" s="8">
        <v>1</v>
      </c>
      <c r="P94" s="8">
        <v>1</v>
      </c>
      <c r="Q94" s="8">
        <v>1</v>
      </c>
      <c r="R94" s="8">
        <v>1</v>
      </c>
      <c r="S94" s="8">
        <v>1</v>
      </c>
      <c r="T94" s="8">
        <v>1</v>
      </c>
      <c r="U94" s="8">
        <v>1</v>
      </c>
      <c r="V94" s="8">
        <v>1</v>
      </c>
      <c r="W94" s="8">
        <v>1</v>
      </c>
      <c r="X94" s="8">
        <v>1</v>
      </c>
      <c r="Y94" s="8">
        <v>1</v>
      </c>
      <c r="Z94" s="8">
        <v>1</v>
      </c>
      <c r="AA94" s="8">
        <v>1</v>
      </c>
      <c r="AB94" s="8">
        <v>1</v>
      </c>
      <c r="AC94" s="8">
        <v>1</v>
      </c>
      <c r="AD94" s="8">
        <v>1</v>
      </c>
    </row>
    <row r="95" spans="1:30" ht="37.5" hidden="1" x14ac:dyDescent="0.25">
      <c r="A95" s="6">
        <v>1101</v>
      </c>
      <c r="B95" s="7" t="s">
        <v>64</v>
      </c>
      <c r="C95" s="7" t="s">
        <v>151</v>
      </c>
      <c r="D95" s="8">
        <v>1</v>
      </c>
      <c r="E95" s="7" t="s">
        <v>169</v>
      </c>
      <c r="F95" s="7" t="str">
        <f t="shared" si="1"/>
        <v>WK1</v>
      </c>
      <c r="G95" s="8">
        <v>0</v>
      </c>
      <c r="H95" s="8">
        <v>0</v>
      </c>
      <c r="I95" s="8">
        <v>0</v>
      </c>
      <c r="J95" s="8">
        <v>0</v>
      </c>
      <c r="K95" s="8">
        <v>0</v>
      </c>
      <c r="L95" s="8">
        <v>0</v>
      </c>
      <c r="M95" s="8">
        <v>0</v>
      </c>
      <c r="N95" s="8">
        <v>0</v>
      </c>
      <c r="O95" s="8">
        <v>0</v>
      </c>
      <c r="P95" s="8">
        <v>1</v>
      </c>
      <c r="Q95" s="8">
        <v>1</v>
      </c>
      <c r="R95" s="8">
        <v>1</v>
      </c>
      <c r="S95" s="8">
        <v>1</v>
      </c>
      <c r="T95" s="8">
        <v>1</v>
      </c>
      <c r="U95" s="8">
        <v>1</v>
      </c>
      <c r="V95" s="8">
        <v>1</v>
      </c>
      <c r="W95" s="8">
        <v>1</v>
      </c>
      <c r="X95" s="8">
        <v>0</v>
      </c>
      <c r="Y95" s="8">
        <v>0</v>
      </c>
      <c r="Z95" s="8">
        <v>0</v>
      </c>
      <c r="AA95" s="8">
        <v>0</v>
      </c>
      <c r="AB95" s="8">
        <v>0</v>
      </c>
      <c r="AC95" s="8">
        <v>0</v>
      </c>
      <c r="AD95" s="8">
        <v>0</v>
      </c>
    </row>
    <row r="96" spans="1:30" ht="50" hidden="1" x14ac:dyDescent="0.25">
      <c r="A96" s="6">
        <v>1102</v>
      </c>
      <c r="B96" s="7" t="s">
        <v>170</v>
      </c>
      <c r="C96" s="7" t="s">
        <v>151</v>
      </c>
      <c r="D96" s="8">
        <v>0.1</v>
      </c>
      <c r="E96" s="7" t="s">
        <v>171</v>
      </c>
      <c r="F96" s="7" t="str">
        <f t="shared" si="1"/>
        <v>WK1</v>
      </c>
      <c r="G96" s="8">
        <v>0</v>
      </c>
      <c r="H96" s="8">
        <v>0</v>
      </c>
      <c r="I96" s="8">
        <v>0</v>
      </c>
      <c r="J96" s="8">
        <v>0</v>
      </c>
      <c r="K96" s="8">
        <v>0</v>
      </c>
      <c r="L96" s="8">
        <v>0</v>
      </c>
      <c r="M96" s="8">
        <v>0</v>
      </c>
      <c r="N96" s="8">
        <v>0</v>
      </c>
      <c r="O96" s="8">
        <v>0</v>
      </c>
      <c r="P96" s="8">
        <v>1</v>
      </c>
      <c r="Q96" s="8">
        <v>1</v>
      </c>
      <c r="R96" s="8">
        <v>1</v>
      </c>
      <c r="S96" s="8">
        <v>1</v>
      </c>
      <c r="T96" s="8">
        <v>1</v>
      </c>
      <c r="U96" s="8">
        <v>1</v>
      </c>
      <c r="V96" s="8">
        <v>1</v>
      </c>
      <c r="W96" s="8">
        <v>1</v>
      </c>
      <c r="X96" s="8">
        <v>0</v>
      </c>
      <c r="Y96" s="8">
        <v>0</v>
      </c>
      <c r="Z96" s="8">
        <v>0</v>
      </c>
      <c r="AA96" s="8">
        <v>0</v>
      </c>
      <c r="AB96" s="8">
        <v>0</v>
      </c>
      <c r="AC96" s="8">
        <v>0</v>
      </c>
      <c r="AD96" s="8">
        <v>0</v>
      </c>
    </row>
    <row r="97" spans="1:30" ht="37.5" hidden="1" x14ac:dyDescent="0.25">
      <c r="A97" s="6">
        <v>1103</v>
      </c>
      <c r="B97" s="7" t="s">
        <v>99</v>
      </c>
      <c r="C97" s="7" t="s">
        <v>151</v>
      </c>
      <c r="D97" s="8">
        <v>0.12352459016393443</v>
      </c>
      <c r="E97" s="7" t="s">
        <v>172</v>
      </c>
      <c r="F97" s="7" t="str">
        <f t="shared" si="1"/>
        <v>Wk1</v>
      </c>
      <c r="G97" s="8">
        <v>0</v>
      </c>
      <c r="H97" s="8">
        <v>0</v>
      </c>
      <c r="I97" s="8">
        <v>0</v>
      </c>
      <c r="J97" s="8">
        <v>0</v>
      </c>
      <c r="K97" s="8">
        <v>0</v>
      </c>
      <c r="L97" s="8">
        <v>0</v>
      </c>
      <c r="M97" s="8">
        <v>0</v>
      </c>
      <c r="N97" s="8">
        <v>0.25</v>
      </c>
      <c r="O97" s="8">
        <v>0.5</v>
      </c>
      <c r="P97" s="8">
        <v>1</v>
      </c>
      <c r="Q97" s="8">
        <v>1</v>
      </c>
      <c r="R97" s="8">
        <v>1</v>
      </c>
      <c r="S97" s="8">
        <v>0.75</v>
      </c>
      <c r="T97" s="8">
        <v>0.75</v>
      </c>
      <c r="U97" s="8">
        <v>1</v>
      </c>
      <c r="V97" s="8">
        <v>1</v>
      </c>
      <c r="W97" s="8">
        <v>1</v>
      </c>
      <c r="X97" s="8">
        <v>0.5</v>
      </c>
      <c r="Y97" s="8">
        <v>0.25</v>
      </c>
      <c r="Z97" s="8">
        <v>0</v>
      </c>
      <c r="AA97" s="8">
        <v>0</v>
      </c>
      <c r="AB97" s="8">
        <v>0</v>
      </c>
      <c r="AC97" s="8">
        <v>0</v>
      </c>
      <c r="AD97" s="8">
        <v>0</v>
      </c>
    </row>
    <row r="98" spans="1:30" ht="37.5" hidden="1" x14ac:dyDescent="0.25">
      <c r="A98" s="6">
        <v>1104</v>
      </c>
      <c r="B98" s="7" t="s">
        <v>101</v>
      </c>
      <c r="C98" s="7" t="s">
        <v>151</v>
      </c>
      <c r="D98" s="8">
        <v>0.08</v>
      </c>
      <c r="E98" s="7" t="s">
        <v>173</v>
      </c>
      <c r="F98" s="7" t="str">
        <f t="shared" si="1"/>
        <v>WK1</v>
      </c>
      <c r="G98" s="8">
        <v>0</v>
      </c>
      <c r="H98" s="8">
        <v>0</v>
      </c>
      <c r="I98" s="8">
        <v>0</v>
      </c>
      <c r="J98" s="8">
        <v>0</v>
      </c>
      <c r="K98" s="8">
        <v>0</v>
      </c>
      <c r="L98" s="8">
        <v>0</v>
      </c>
      <c r="M98" s="8">
        <v>0</v>
      </c>
      <c r="N98" s="8">
        <v>0.25</v>
      </c>
      <c r="O98" s="8">
        <v>0.5</v>
      </c>
      <c r="P98" s="8">
        <v>1</v>
      </c>
      <c r="Q98" s="8">
        <v>1</v>
      </c>
      <c r="R98" s="8">
        <v>1</v>
      </c>
      <c r="S98" s="8">
        <v>0.75</v>
      </c>
      <c r="T98" s="8">
        <v>0.75</v>
      </c>
      <c r="U98" s="8">
        <v>1</v>
      </c>
      <c r="V98" s="8">
        <v>1</v>
      </c>
      <c r="W98" s="8">
        <v>1</v>
      </c>
      <c r="X98" s="8">
        <v>0.5</v>
      </c>
      <c r="Y98" s="8">
        <v>0.25</v>
      </c>
      <c r="Z98" s="8">
        <v>0</v>
      </c>
      <c r="AA98" s="8">
        <v>0</v>
      </c>
      <c r="AB98" s="8">
        <v>0</v>
      </c>
      <c r="AC98" s="8">
        <v>0</v>
      </c>
      <c r="AD98" s="8">
        <v>0</v>
      </c>
    </row>
    <row r="99" spans="1:30" ht="37.5" hidden="1" x14ac:dyDescent="0.25">
      <c r="A99" s="6">
        <v>1105</v>
      </c>
      <c r="B99" s="7" t="s">
        <v>174</v>
      </c>
      <c r="C99" s="7" t="s">
        <v>151</v>
      </c>
      <c r="D99" s="8">
        <v>0.125</v>
      </c>
      <c r="E99" s="7" t="s">
        <v>175</v>
      </c>
      <c r="F99" s="7" t="str">
        <f t="shared" si="1"/>
        <v>WK1</v>
      </c>
      <c r="G99" s="9"/>
      <c r="H99" s="9"/>
      <c r="I99" s="9"/>
      <c r="J99" s="9"/>
      <c r="K99" s="9"/>
      <c r="L99" s="9"/>
      <c r="M99" s="9"/>
      <c r="N99" s="8">
        <v>1</v>
      </c>
      <c r="O99" s="8">
        <v>1</v>
      </c>
      <c r="P99" s="8">
        <v>1</v>
      </c>
      <c r="Q99" s="8">
        <v>1</v>
      </c>
      <c r="R99" s="8">
        <v>1</v>
      </c>
      <c r="S99" s="8">
        <v>1</v>
      </c>
      <c r="T99" s="8">
        <v>1</v>
      </c>
      <c r="U99" s="8">
        <v>1</v>
      </c>
      <c r="V99" s="8">
        <v>1</v>
      </c>
      <c r="W99" s="8">
        <v>1</v>
      </c>
      <c r="X99" s="8">
        <v>1</v>
      </c>
      <c r="Y99" s="8">
        <v>1</v>
      </c>
      <c r="Z99" s="8">
        <v>1</v>
      </c>
      <c r="AA99" s="8">
        <v>1</v>
      </c>
      <c r="AB99" s="9"/>
      <c r="AC99" s="9"/>
      <c r="AD99" s="9"/>
    </row>
    <row r="100" spans="1:30" ht="37.5" hidden="1" x14ac:dyDescent="0.25">
      <c r="A100" s="6">
        <v>1106</v>
      </c>
      <c r="B100" s="7" t="s">
        <v>53</v>
      </c>
      <c r="C100" s="7" t="s">
        <v>151</v>
      </c>
      <c r="D100" s="8">
        <v>0.5</v>
      </c>
      <c r="E100" s="7" t="s">
        <v>176</v>
      </c>
      <c r="F100" s="7" t="str">
        <f t="shared" si="1"/>
        <v>WK1</v>
      </c>
      <c r="G100" s="8">
        <v>0</v>
      </c>
      <c r="H100" s="8">
        <v>0</v>
      </c>
      <c r="I100" s="8">
        <v>0</v>
      </c>
      <c r="J100" s="8">
        <v>0</v>
      </c>
      <c r="K100" s="8">
        <v>0</v>
      </c>
      <c r="L100" s="8">
        <v>0</v>
      </c>
      <c r="M100" s="8">
        <v>0</v>
      </c>
      <c r="N100" s="8">
        <v>0</v>
      </c>
      <c r="O100" s="8">
        <v>1</v>
      </c>
      <c r="P100" s="8">
        <v>1</v>
      </c>
      <c r="Q100" s="8">
        <v>1</v>
      </c>
      <c r="R100" s="8">
        <v>1</v>
      </c>
      <c r="S100" s="8">
        <v>1</v>
      </c>
      <c r="T100" s="8">
        <v>1</v>
      </c>
      <c r="U100" s="8">
        <v>1</v>
      </c>
      <c r="V100" s="8">
        <v>1</v>
      </c>
      <c r="W100" s="8">
        <v>1</v>
      </c>
      <c r="X100" s="8">
        <v>1</v>
      </c>
      <c r="Y100" s="8">
        <v>0</v>
      </c>
      <c r="Z100" s="8">
        <v>0</v>
      </c>
      <c r="AA100" s="8">
        <v>0</v>
      </c>
      <c r="AB100" s="8">
        <v>0</v>
      </c>
      <c r="AC100" s="8">
        <v>0</v>
      </c>
      <c r="AD100" s="8">
        <v>0</v>
      </c>
    </row>
    <row r="101" spans="1:30" ht="37.5" hidden="1" x14ac:dyDescent="0.25">
      <c r="A101" s="6">
        <v>1107</v>
      </c>
      <c r="B101" s="7" t="s">
        <v>177</v>
      </c>
      <c r="C101" s="7" t="s">
        <v>151</v>
      </c>
      <c r="D101" s="8">
        <v>1</v>
      </c>
      <c r="E101" s="7" t="s">
        <v>178</v>
      </c>
      <c r="F101" s="7" t="str">
        <f t="shared" si="1"/>
        <v>Wk1</v>
      </c>
      <c r="G101" s="8">
        <v>0</v>
      </c>
      <c r="H101" s="8">
        <v>0</v>
      </c>
      <c r="I101" s="8">
        <v>0</v>
      </c>
      <c r="J101" s="8">
        <v>0</v>
      </c>
      <c r="K101" s="8">
        <v>0</v>
      </c>
      <c r="L101" s="8">
        <v>0</v>
      </c>
      <c r="M101" s="8">
        <v>0</v>
      </c>
      <c r="N101" s="8">
        <v>0</v>
      </c>
      <c r="O101" s="8">
        <v>0</v>
      </c>
      <c r="P101" s="8">
        <v>1</v>
      </c>
      <c r="Q101" s="8">
        <v>1</v>
      </c>
      <c r="R101" s="8">
        <v>1</v>
      </c>
      <c r="S101" s="8">
        <v>1</v>
      </c>
      <c r="T101" s="8">
        <v>1</v>
      </c>
      <c r="U101" s="8">
        <v>1</v>
      </c>
      <c r="V101" s="8">
        <v>1</v>
      </c>
      <c r="W101" s="8">
        <v>1</v>
      </c>
      <c r="X101" s="8">
        <v>0</v>
      </c>
      <c r="Y101" s="8">
        <v>0</v>
      </c>
      <c r="Z101" s="8">
        <v>0</v>
      </c>
      <c r="AA101" s="8">
        <v>0</v>
      </c>
      <c r="AB101" s="8">
        <v>0</v>
      </c>
      <c r="AC101" s="8">
        <v>0</v>
      </c>
      <c r="AD101" s="8">
        <v>0</v>
      </c>
    </row>
    <row r="102" spans="1:30" ht="37.5" hidden="1" x14ac:dyDescent="0.25">
      <c r="A102" s="6">
        <v>1108</v>
      </c>
      <c r="B102" s="7" t="s">
        <v>179</v>
      </c>
      <c r="C102" s="7" t="s">
        <v>151</v>
      </c>
      <c r="D102" s="8">
        <v>0.1</v>
      </c>
      <c r="E102" s="7" t="s">
        <v>180</v>
      </c>
      <c r="F102" s="7" t="str">
        <f t="shared" si="1"/>
        <v>WK1</v>
      </c>
      <c r="G102" s="8">
        <v>0</v>
      </c>
      <c r="H102" s="8">
        <v>0</v>
      </c>
      <c r="I102" s="8">
        <v>0</v>
      </c>
      <c r="J102" s="8">
        <v>0</v>
      </c>
      <c r="K102" s="8">
        <v>0</v>
      </c>
      <c r="L102" s="8">
        <v>0</v>
      </c>
      <c r="M102" s="8">
        <v>0</v>
      </c>
      <c r="N102" s="8">
        <v>1</v>
      </c>
      <c r="O102" s="8">
        <v>1</v>
      </c>
      <c r="P102" s="8">
        <v>1</v>
      </c>
      <c r="Q102" s="8">
        <v>1</v>
      </c>
      <c r="R102" s="8">
        <v>1</v>
      </c>
      <c r="S102" s="8">
        <v>1</v>
      </c>
      <c r="T102" s="8">
        <v>1</v>
      </c>
      <c r="U102" s="8">
        <v>1</v>
      </c>
      <c r="V102" s="8">
        <v>1</v>
      </c>
      <c r="W102" s="8">
        <v>1</v>
      </c>
      <c r="X102" s="8">
        <v>1</v>
      </c>
      <c r="Y102" s="8">
        <v>1</v>
      </c>
      <c r="Z102" s="8">
        <v>1</v>
      </c>
      <c r="AA102" s="8">
        <v>1</v>
      </c>
      <c r="AB102" s="8">
        <v>0</v>
      </c>
      <c r="AC102" s="8">
        <v>0</v>
      </c>
      <c r="AD102" s="8">
        <v>0</v>
      </c>
    </row>
    <row r="103" spans="1:30" ht="37.5" hidden="1" x14ac:dyDescent="0.25">
      <c r="A103" s="6">
        <v>1109</v>
      </c>
      <c r="B103" s="7" t="s">
        <v>181</v>
      </c>
      <c r="C103" s="7" t="s">
        <v>151</v>
      </c>
      <c r="D103" s="8">
        <v>0.23411628784905672</v>
      </c>
      <c r="E103" s="7" t="s">
        <v>182</v>
      </c>
      <c r="F103" s="7" t="str">
        <f t="shared" si="1"/>
        <v>WK1</v>
      </c>
      <c r="G103" s="8">
        <v>0</v>
      </c>
      <c r="H103" s="8">
        <v>0</v>
      </c>
      <c r="I103" s="8">
        <v>0</v>
      </c>
      <c r="J103" s="8">
        <v>0</v>
      </c>
      <c r="K103" s="8">
        <v>0</v>
      </c>
      <c r="L103" s="8">
        <v>0</v>
      </c>
      <c r="M103" s="8">
        <v>0.25</v>
      </c>
      <c r="N103" s="8">
        <v>1</v>
      </c>
      <c r="O103" s="8">
        <v>1</v>
      </c>
      <c r="P103" s="8">
        <v>0.25</v>
      </c>
      <c r="Q103" s="8">
        <v>0</v>
      </c>
      <c r="R103" s="8">
        <v>0</v>
      </c>
      <c r="S103" s="8">
        <v>0</v>
      </c>
      <c r="T103" s="8">
        <v>0</v>
      </c>
      <c r="U103" s="8">
        <v>0</v>
      </c>
      <c r="V103" s="8">
        <v>0</v>
      </c>
      <c r="W103" s="8">
        <v>0</v>
      </c>
      <c r="X103" s="8">
        <v>0</v>
      </c>
      <c r="Y103" s="8">
        <v>0.5</v>
      </c>
      <c r="Z103" s="8">
        <v>1</v>
      </c>
      <c r="AA103" s="8">
        <v>1</v>
      </c>
      <c r="AB103" s="8">
        <v>0.3</v>
      </c>
      <c r="AC103" s="8">
        <v>0</v>
      </c>
      <c r="AD103" s="8">
        <v>0</v>
      </c>
    </row>
    <row r="104" spans="1:30" ht="50" hidden="1" x14ac:dyDescent="0.25">
      <c r="A104" s="6">
        <v>1110</v>
      </c>
      <c r="B104" s="7" t="s">
        <v>183</v>
      </c>
      <c r="C104" s="7" t="s">
        <v>151</v>
      </c>
      <c r="D104" s="8">
        <v>0.17515384615384624</v>
      </c>
      <c r="E104" s="7" t="s">
        <v>184</v>
      </c>
      <c r="F104" s="7" t="str">
        <f t="shared" si="1"/>
        <v>WK1</v>
      </c>
      <c r="G104" s="8">
        <v>0</v>
      </c>
      <c r="H104" s="8">
        <v>0</v>
      </c>
      <c r="I104" s="8">
        <v>0</v>
      </c>
      <c r="J104" s="8">
        <v>0</v>
      </c>
      <c r="K104" s="8">
        <v>0</v>
      </c>
      <c r="L104" s="8">
        <v>0</v>
      </c>
      <c r="M104" s="8">
        <v>0</v>
      </c>
      <c r="N104" s="8">
        <v>1</v>
      </c>
      <c r="O104" s="8">
        <v>1</v>
      </c>
      <c r="P104" s="8">
        <v>1</v>
      </c>
      <c r="Q104" s="8">
        <v>1</v>
      </c>
      <c r="R104" s="8">
        <v>1</v>
      </c>
      <c r="S104" s="8">
        <v>1</v>
      </c>
      <c r="T104" s="8">
        <v>1</v>
      </c>
      <c r="U104" s="8">
        <v>1</v>
      </c>
      <c r="V104" s="8">
        <v>1</v>
      </c>
      <c r="W104" s="8">
        <v>1</v>
      </c>
      <c r="X104" s="8">
        <v>1</v>
      </c>
      <c r="Y104" s="8">
        <v>1</v>
      </c>
      <c r="Z104" s="8">
        <v>1</v>
      </c>
      <c r="AA104" s="8">
        <v>0</v>
      </c>
      <c r="AB104" s="8">
        <v>0</v>
      </c>
      <c r="AC104" s="8">
        <v>0</v>
      </c>
      <c r="AD104" s="8">
        <v>0</v>
      </c>
    </row>
    <row r="105" spans="1:30" ht="37.5" hidden="1" x14ac:dyDescent="0.25">
      <c r="A105" s="6">
        <v>1111</v>
      </c>
      <c r="B105" s="7" t="s">
        <v>185</v>
      </c>
      <c r="C105" s="7" t="s">
        <v>151</v>
      </c>
      <c r="D105" s="8">
        <v>0.19500000000000001</v>
      </c>
      <c r="E105" s="7" t="s">
        <v>186</v>
      </c>
      <c r="F105" s="7" t="str">
        <f t="shared" si="1"/>
        <v>WK1</v>
      </c>
      <c r="G105" s="8">
        <v>0</v>
      </c>
      <c r="H105" s="8">
        <v>0</v>
      </c>
      <c r="I105" s="8">
        <v>0</v>
      </c>
      <c r="J105" s="8">
        <v>0</v>
      </c>
      <c r="K105" s="8">
        <v>0</v>
      </c>
      <c r="L105" s="8">
        <v>0</v>
      </c>
      <c r="M105" s="8">
        <v>0</v>
      </c>
      <c r="N105" s="8">
        <v>0.25</v>
      </c>
      <c r="O105" s="8">
        <v>0.5</v>
      </c>
      <c r="P105" s="8">
        <v>1</v>
      </c>
      <c r="Q105" s="8">
        <v>1</v>
      </c>
      <c r="R105" s="8">
        <v>1</v>
      </c>
      <c r="S105" s="8">
        <v>0.75</v>
      </c>
      <c r="T105" s="8">
        <v>0.75</v>
      </c>
      <c r="U105" s="8">
        <v>1</v>
      </c>
      <c r="V105" s="8">
        <v>1</v>
      </c>
      <c r="W105" s="8">
        <v>1</v>
      </c>
      <c r="X105" s="8">
        <v>0.5</v>
      </c>
      <c r="Y105" s="8">
        <v>0.25</v>
      </c>
      <c r="Z105" s="8">
        <v>0</v>
      </c>
      <c r="AA105" s="8">
        <v>0</v>
      </c>
      <c r="AB105" s="8">
        <v>0</v>
      </c>
      <c r="AC105" s="8">
        <v>0</v>
      </c>
      <c r="AD105" s="8">
        <v>0</v>
      </c>
    </row>
    <row r="106" spans="1:30" ht="50" hidden="1" x14ac:dyDescent="0.25">
      <c r="A106" s="6">
        <v>1112</v>
      </c>
      <c r="B106" s="7" t="s">
        <v>84</v>
      </c>
      <c r="C106" s="7" t="s">
        <v>187</v>
      </c>
      <c r="D106" s="8">
        <v>0.11611111111111111</v>
      </c>
      <c r="E106" s="7" t="s">
        <v>188</v>
      </c>
      <c r="F106" s="7" t="str">
        <f t="shared" si="1"/>
        <v>WK1</v>
      </c>
      <c r="G106" s="8">
        <v>0</v>
      </c>
      <c r="H106" s="8">
        <v>0</v>
      </c>
      <c r="I106" s="8">
        <v>0</v>
      </c>
      <c r="J106" s="8">
        <v>0</v>
      </c>
      <c r="K106" s="8">
        <v>0</v>
      </c>
      <c r="L106" s="8">
        <v>0</v>
      </c>
      <c r="M106" s="8">
        <v>0</v>
      </c>
      <c r="N106" s="8">
        <v>0.25</v>
      </c>
      <c r="O106" s="8">
        <v>0.5</v>
      </c>
      <c r="P106" s="8">
        <v>1</v>
      </c>
      <c r="Q106" s="8">
        <v>1</v>
      </c>
      <c r="R106" s="8">
        <v>1</v>
      </c>
      <c r="S106" s="8">
        <v>0.75</v>
      </c>
      <c r="T106" s="8">
        <v>0.75</v>
      </c>
      <c r="U106" s="8">
        <v>1</v>
      </c>
      <c r="V106" s="8">
        <v>1</v>
      </c>
      <c r="W106" s="8">
        <v>1</v>
      </c>
      <c r="X106" s="8">
        <v>0.5</v>
      </c>
      <c r="Y106" s="8">
        <v>0.25</v>
      </c>
      <c r="Z106" s="8">
        <v>0</v>
      </c>
      <c r="AA106" s="8">
        <v>0</v>
      </c>
      <c r="AB106" s="8">
        <v>0</v>
      </c>
      <c r="AC106" s="8">
        <v>0</v>
      </c>
      <c r="AD106" s="8">
        <v>0</v>
      </c>
    </row>
    <row r="107" spans="1:30" ht="37.5" hidden="1" x14ac:dyDescent="0.25">
      <c r="A107" s="6">
        <v>1113</v>
      </c>
      <c r="B107" s="7" t="s">
        <v>47</v>
      </c>
      <c r="C107" s="7" t="s">
        <v>187</v>
      </c>
      <c r="D107" s="8">
        <v>0.11</v>
      </c>
      <c r="E107" s="7" t="s">
        <v>189</v>
      </c>
      <c r="F107" s="7" t="str">
        <f t="shared" si="1"/>
        <v>WK1</v>
      </c>
      <c r="G107" s="8">
        <v>0</v>
      </c>
      <c r="H107" s="8">
        <v>0</v>
      </c>
      <c r="I107" s="8">
        <v>0</v>
      </c>
      <c r="J107" s="8">
        <v>0</v>
      </c>
      <c r="K107" s="8">
        <v>0</v>
      </c>
      <c r="L107" s="8">
        <v>0</v>
      </c>
      <c r="M107" s="8">
        <v>0</v>
      </c>
      <c r="N107" s="8">
        <v>0</v>
      </c>
      <c r="O107" s="8">
        <v>0</v>
      </c>
      <c r="P107" s="8">
        <v>0</v>
      </c>
      <c r="Q107" s="8">
        <v>0</v>
      </c>
      <c r="R107" s="8">
        <v>0</v>
      </c>
      <c r="S107" s="8">
        <v>0</v>
      </c>
      <c r="T107" s="8">
        <v>0</v>
      </c>
      <c r="U107" s="8">
        <v>0</v>
      </c>
      <c r="V107" s="8">
        <v>0</v>
      </c>
      <c r="W107" s="8">
        <v>0</v>
      </c>
      <c r="X107" s="8">
        <v>0</v>
      </c>
      <c r="Y107" s="8">
        <v>0</v>
      </c>
      <c r="Z107" s="8">
        <v>0</v>
      </c>
      <c r="AA107" s="8">
        <v>0</v>
      </c>
      <c r="AB107" s="8">
        <v>0</v>
      </c>
      <c r="AC107" s="8">
        <v>0</v>
      </c>
      <c r="AD107" s="8">
        <v>0</v>
      </c>
    </row>
    <row r="108" spans="1:30" ht="50" hidden="1" x14ac:dyDescent="0.25">
      <c r="A108" s="6">
        <v>1114</v>
      </c>
      <c r="B108" s="7" t="s">
        <v>45</v>
      </c>
      <c r="C108" s="7" t="s">
        <v>187</v>
      </c>
      <c r="D108" s="8">
        <v>0.12100000000000005</v>
      </c>
      <c r="E108" s="7" t="s">
        <v>190</v>
      </c>
      <c r="F108" s="7" t="str">
        <f t="shared" si="1"/>
        <v>WK1</v>
      </c>
      <c r="G108" s="8">
        <v>0</v>
      </c>
      <c r="H108" s="8">
        <v>0</v>
      </c>
      <c r="I108" s="8">
        <v>0</v>
      </c>
      <c r="J108" s="8">
        <v>0</v>
      </c>
      <c r="K108" s="8">
        <v>0</v>
      </c>
      <c r="L108" s="8">
        <v>0</v>
      </c>
      <c r="M108" s="8">
        <v>0</v>
      </c>
      <c r="N108" s="8">
        <v>0</v>
      </c>
      <c r="O108" s="8">
        <v>1</v>
      </c>
      <c r="P108" s="8">
        <v>1</v>
      </c>
      <c r="Q108" s="8">
        <v>1</v>
      </c>
      <c r="R108" s="8">
        <v>1</v>
      </c>
      <c r="S108" s="8">
        <v>1</v>
      </c>
      <c r="T108" s="8">
        <v>1</v>
      </c>
      <c r="U108" s="8">
        <v>1</v>
      </c>
      <c r="V108" s="8">
        <v>1</v>
      </c>
      <c r="W108" s="8">
        <v>1</v>
      </c>
      <c r="X108" s="8">
        <v>1</v>
      </c>
      <c r="Y108" s="8">
        <v>0</v>
      </c>
      <c r="Z108" s="8">
        <v>0</v>
      </c>
      <c r="AA108" s="8">
        <v>0</v>
      </c>
      <c r="AB108" s="8">
        <v>0</v>
      </c>
      <c r="AC108" s="8">
        <v>0</v>
      </c>
      <c r="AD108" s="8">
        <v>0</v>
      </c>
    </row>
    <row r="109" spans="1:30" ht="37.5" hidden="1" x14ac:dyDescent="0.25">
      <c r="A109" s="6">
        <v>1115</v>
      </c>
      <c r="B109" s="7" t="s">
        <v>38</v>
      </c>
      <c r="C109" s="7" t="s">
        <v>187</v>
      </c>
      <c r="D109" s="8">
        <v>0.11846153846153853</v>
      </c>
      <c r="E109" s="7" t="s">
        <v>191</v>
      </c>
      <c r="F109" s="7" t="str">
        <f t="shared" si="1"/>
        <v>WK1</v>
      </c>
      <c r="G109" s="8">
        <v>0</v>
      </c>
      <c r="H109" s="8">
        <v>0</v>
      </c>
      <c r="I109" s="8">
        <v>0</v>
      </c>
      <c r="J109" s="8">
        <v>0</v>
      </c>
      <c r="K109" s="8">
        <v>0</v>
      </c>
      <c r="L109" s="8">
        <v>0</v>
      </c>
      <c r="M109" s="8">
        <v>0</v>
      </c>
      <c r="N109" s="8">
        <v>1</v>
      </c>
      <c r="O109" s="8">
        <v>1</v>
      </c>
      <c r="P109" s="8">
        <v>1</v>
      </c>
      <c r="Q109" s="8">
        <v>1</v>
      </c>
      <c r="R109" s="8">
        <v>1</v>
      </c>
      <c r="S109" s="8">
        <v>1</v>
      </c>
      <c r="T109" s="8">
        <v>1</v>
      </c>
      <c r="U109" s="8">
        <v>1</v>
      </c>
      <c r="V109" s="8">
        <v>1</v>
      </c>
      <c r="W109" s="8">
        <v>1</v>
      </c>
      <c r="X109" s="8">
        <v>1</v>
      </c>
      <c r="Y109" s="8">
        <v>1</v>
      </c>
      <c r="Z109" s="8">
        <v>1</v>
      </c>
      <c r="AA109" s="8">
        <v>0</v>
      </c>
      <c r="AB109" s="8">
        <v>0</v>
      </c>
      <c r="AC109" s="8">
        <v>0</v>
      </c>
      <c r="AD109" s="8">
        <v>0</v>
      </c>
    </row>
    <row r="110" spans="1:30" ht="37.5" hidden="1" x14ac:dyDescent="0.25">
      <c r="A110" s="6">
        <v>1118</v>
      </c>
      <c r="B110" s="7" t="s">
        <v>43</v>
      </c>
      <c r="C110" s="7" t="s">
        <v>187</v>
      </c>
      <c r="D110" s="8">
        <v>0.11888888888148146</v>
      </c>
      <c r="E110" s="7" t="s">
        <v>192</v>
      </c>
      <c r="F110" s="7" t="str">
        <f t="shared" si="1"/>
        <v>WK1</v>
      </c>
      <c r="G110" s="8">
        <v>0</v>
      </c>
      <c r="H110" s="8">
        <v>0</v>
      </c>
      <c r="I110" s="8">
        <v>0</v>
      </c>
      <c r="J110" s="8">
        <v>0</v>
      </c>
      <c r="K110" s="8">
        <v>0</v>
      </c>
      <c r="L110" s="8">
        <v>0</v>
      </c>
      <c r="M110" s="8">
        <v>0</v>
      </c>
      <c r="N110" s="8">
        <v>0.25</v>
      </c>
      <c r="O110" s="8">
        <v>0.5</v>
      </c>
      <c r="P110" s="8">
        <v>1</v>
      </c>
      <c r="Q110" s="8">
        <v>1</v>
      </c>
      <c r="R110" s="8">
        <v>1</v>
      </c>
      <c r="S110" s="8">
        <v>0.75</v>
      </c>
      <c r="T110" s="8">
        <v>0.75</v>
      </c>
      <c r="U110" s="8">
        <v>1</v>
      </c>
      <c r="V110" s="8">
        <v>1</v>
      </c>
      <c r="W110" s="8">
        <v>1</v>
      </c>
      <c r="X110" s="8">
        <v>0.5</v>
      </c>
      <c r="Y110" s="8">
        <v>0.25</v>
      </c>
      <c r="Z110" s="8">
        <v>0</v>
      </c>
      <c r="AA110" s="8">
        <v>0</v>
      </c>
      <c r="AB110" s="8">
        <v>0</v>
      </c>
      <c r="AC110" s="8">
        <v>0</v>
      </c>
      <c r="AD110" s="8">
        <v>0</v>
      </c>
    </row>
    <row r="111" spans="1:30" ht="37.5" hidden="1" x14ac:dyDescent="0.25">
      <c r="A111" s="8">
        <v>1118</v>
      </c>
      <c r="B111" s="7" t="s">
        <v>43</v>
      </c>
      <c r="C111" s="7" t="s">
        <v>187</v>
      </c>
      <c r="D111" s="8">
        <v>0.11888888888148146</v>
      </c>
      <c r="E111" s="7" t="s">
        <v>193</v>
      </c>
      <c r="F111" s="7" t="str">
        <f t="shared" si="1"/>
        <v>Wk2</v>
      </c>
      <c r="G111" s="8">
        <v>0</v>
      </c>
      <c r="H111" s="8">
        <v>0</v>
      </c>
      <c r="I111" s="8">
        <v>0</v>
      </c>
      <c r="J111" s="8">
        <v>0</v>
      </c>
      <c r="K111" s="8">
        <v>0</v>
      </c>
      <c r="L111" s="8">
        <v>0</v>
      </c>
      <c r="M111" s="8">
        <v>0</v>
      </c>
      <c r="N111" s="8">
        <v>0.25</v>
      </c>
      <c r="O111" s="8">
        <v>0.5</v>
      </c>
      <c r="P111" s="8">
        <v>1</v>
      </c>
      <c r="Q111" s="8">
        <v>1</v>
      </c>
      <c r="R111" s="8">
        <v>1</v>
      </c>
      <c r="S111" s="8">
        <v>0.75</v>
      </c>
      <c r="T111" s="8">
        <v>0.75</v>
      </c>
      <c r="U111" s="8">
        <v>1</v>
      </c>
      <c r="V111" s="8">
        <v>1</v>
      </c>
      <c r="W111" s="8">
        <v>1</v>
      </c>
      <c r="X111" s="8">
        <v>0.5</v>
      </c>
      <c r="Y111" s="8">
        <v>0.25</v>
      </c>
      <c r="Z111" s="8">
        <v>0</v>
      </c>
      <c r="AA111" s="8">
        <v>0</v>
      </c>
      <c r="AB111" s="8">
        <v>0</v>
      </c>
      <c r="AC111" s="8">
        <v>0</v>
      </c>
      <c r="AD111" s="8">
        <v>0</v>
      </c>
    </row>
    <row r="112" spans="1:30" ht="37.5" hidden="1" x14ac:dyDescent="0.25">
      <c r="A112" s="6">
        <v>1119</v>
      </c>
      <c r="B112" s="7" t="s">
        <v>194</v>
      </c>
      <c r="C112" s="7" t="s">
        <v>187</v>
      </c>
      <c r="D112" s="8">
        <v>0.18461538461538468</v>
      </c>
      <c r="E112" s="7" t="s">
        <v>195</v>
      </c>
      <c r="F112" s="7" t="str">
        <f t="shared" si="1"/>
        <v>WK1</v>
      </c>
      <c r="G112" s="8">
        <v>0</v>
      </c>
      <c r="H112" s="8">
        <v>0</v>
      </c>
      <c r="I112" s="8">
        <v>0</v>
      </c>
      <c r="J112" s="8">
        <v>0</v>
      </c>
      <c r="K112" s="8">
        <v>0</v>
      </c>
      <c r="L112" s="8">
        <v>0</v>
      </c>
      <c r="M112" s="8">
        <v>0</v>
      </c>
      <c r="N112" s="8">
        <v>1</v>
      </c>
      <c r="O112" s="8">
        <v>1</v>
      </c>
      <c r="P112" s="8">
        <v>1</v>
      </c>
      <c r="Q112" s="8">
        <v>1</v>
      </c>
      <c r="R112" s="8">
        <v>1</v>
      </c>
      <c r="S112" s="8">
        <v>1</v>
      </c>
      <c r="T112" s="8">
        <v>1</v>
      </c>
      <c r="U112" s="8">
        <v>1</v>
      </c>
      <c r="V112" s="8">
        <v>1</v>
      </c>
      <c r="W112" s="8">
        <v>1</v>
      </c>
      <c r="X112" s="8">
        <v>1</v>
      </c>
      <c r="Y112" s="8">
        <v>1</v>
      </c>
      <c r="Z112" s="8">
        <v>1</v>
      </c>
      <c r="AA112" s="8">
        <v>0</v>
      </c>
      <c r="AB112" s="8">
        <v>0</v>
      </c>
      <c r="AC112" s="8">
        <v>0</v>
      </c>
      <c r="AD112" s="8">
        <v>0</v>
      </c>
    </row>
    <row r="113" spans="1:30" ht="37.5" hidden="1" x14ac:dyDescent="0.25">
      <c r="A113" s="6">
        <v>1120</v>
      </c>
      <c r="B113" s="7" t="s">
        <v>196</v>
      </c>
      <c r="C113" s="7" t="s">
        <v>187</v>
      </c>
      <c r="D113" s="8">
        <v>0.2049319727945578</v>
      </c>
      <c r="E113" s="7" t="s">
        <v>197</v>
      </c>
      <c r="F113" s="7" t="str">
        <f t="shared" si="1"/>
        <v>Wk1</v>
      </c>
      <c r="G113" s="8">
        <v>0</v>
      </c>
      <c r="H113" s="8">
        <v>0</v>
      </c>
      <c r="I113" s="8">
        <v>0</v>
      </c>
      <c r="J113" s="8">
        <v>0</v>
      </c>
      <c r="K113" s="8">
        <v>0</v>
      </c>
      <c r="L113" s="8">
        <v>0</v>
      </c>
      <c r="M113" s="8">
        <v>0</v>
      </c>
      <c r="N113" s="8">
        <v>1</v>
      </c>
      <c r="O113" s="8">
        <v>1</v>
      </c>
      <c r="P113" s="8">
        <v>1</v>
      </c>
      <c r="Q113" s="8">
        <v>1</v>
      </c>
      <c r="R113" s="8">
        <v>1</v>
      </c>
      <c r="S113" s="8">
        <v>1</v>
      </c>
      <c r="T113" s="8">
        <v>1</v>
      </c>
      <c r="U113" s="8">
        <v>1</v>
      </c>
      <c r="V113" s="8">
        <v>1</v>
      </c>
      <c r="W113" s="8">
        <v>1</v>
      </c>
      <c r="X113" s="8">
        <v>1</v>
      </c>
      <c r="Y113" s="8">
        <v>1</v>
      </c>
      <c r="Z113" s="8">
        <v>1</v>
      </c>
      <c r="AA113" s="8">
        <v>1</v>
      </c>
      <c r="AB113" s="8">
        <v>0</v>
      </c>
      <c r="AC113" s="8">
        <v>0</v>
      </c>
      <c r="AD113" s="8">
        <v>0</v>
      </c>
    </row>
    <row r="114" spans="1:30" ht="37.5" hidden="1" x14ac:dyDescent="0.25">
      <c r="A114" s="8">
        <v>1120</v>
      </c>
      <c r="B114" s="7" t="s">
        <v>196</v>
      </c>
      <c r="C114" s="7" t="s">
        <v>187</v>
      </c>
      <c r="D114" s="8">
        <v>0.2049319727945578</v>
      </c>
      <c r="E114" s="7" t="s">
        <v>198</v>
      </c>
      <c r="F114" s="7" t="str">
        <f t="shared" si="1"/>
        <v>Wk2</v>
      </c>
      <c r="G114" s="8">
        <v>0</v>
      </c>
      <c r="H114" s="8">
        <v>0</v>
      </c>
      <c r="I114" s="8">
        <v>0</v>
      </c>
      <c r="J114" s="8">
        <v>0</v>
      </c>
      <c r="K114" s="8">
        <v>0</v>
      </c>
      <c r="L114" s="8">
        <v>0</v>
      </c>
      <c r="M114" s="8">
        <v>0</v>
      </c>
      <c r="N114" s="8">
        <v>1</v>
      </c>
      <c r="O114" s="8">
        <v>1</v>
      </c>
      <c r="P114" s="8">
        <v>1</v>
      </c>
      <c r="Q114" s="8">
        <v>1</v>
      </c>
      <c r="R114" s="8">
        <v>1</v>
      </c>
      <c r="S114" s="8">
        <v>1</v>
      </c>
      <c r="T114" s="8">
        <v>1</v>
      </c>
      <c r="U114" s="8">
        <v>1</v>
      </c>
      <c r="V114" s="8">
        <v>1</v>
      </c>
      <c r="W114" s="8">
        <v>1</v>
      </c>
      <c r="X114" s="8">
        <v>1</v>
      </c>
      <c r="Y114" s="8">
        <v>1</v>
      </c>
      <c r="Z114" s="8">
        <v>1</v>
      </c>
      <c r="AA114" s="8">
        <v>1</v>
      </c>
      <c r="AB114" s="8">
        <v>0</v>
      </c>
      <c r="AC114" s="8">
        <v>0</v>
      </c>
      <c r="AD114" s="8">
        <v>0</v>
      </c>
    </row>
    <row r="115" spans="1:30" ht="50" hidden="1" x14ac:dyDescent="0.25">
      <c r="A115" s="6">
        <v>1121</v>
      </c>
      <c r="B115" s="7" t="s">
        <v>55</v>
      </c>
      <c r="C115" s="7" t="s">
        <v>187</v>
      </c>
      <c r="D115" s="8">
        <v>0.11846153846153853</v>
      </c>
      <c r="E115" s="7" t="s">
        <v>199</v>
      </c>
      <c r="F115" s="7" t="str">
        <f t="shared" si="1"/>
        <v>WK1</v>
      </c>
      <c r="G115" s="8">
        <v>0</v>
      </c>
      <c r="H115" s="8">
        <v>0</v>
      </c>
      <c r="I115" s="8">
        <v>0</v>
      </c>
      <c r="J115" s="8">
        <v>0</v>
      </c>
      <c r="K115" s="8">
        <v>0</v>
      </c>
      <c r="L115" s="8">
        <v>0</v>
      </c>
      <c r="M115" s="8">
        <v>0</v>
      </c>
      <c r="N115" s="8">
        <v>1</v>
      </c>
      <c r="O115" s="8">
        <v>1</v>
      </c>
      <c r="P115" s="8">
        <v>1</v>
      </c>
      <c r="Q115" s="8">
        <v>1</v>
      </c>
      <c r="R115" s="8">
        <v>1</v>
      </c>
      <c r="S115" s="8">
        <v>1</v>
      </c>
      <c r="T115" s="8">
        <v>1</v>
      </c>
      <c r="U115" s="8">
        <v>1</v>
      </c>
      <c r="V115" s="8">
        <v>1</v>
      </c>
      <c r="W115" s="8">
        <v>1</v>
      </c>
      <c r="X115" s="8">
        <v>1</v>
      </c>
      <c r="Y115" s="8">
        <v>1</v>
      </c>
      <c r="Z115" s="8">
        <v>1</v>
      </c>
      <c r="AA115" s="8">
        <v>0</v>
      </c>
      <c r="AB115" s="8">
        <v>0</v>
      </c>
      <c r="AC115" s="8">
        <v>0</v>
      </c>
      <c r="AD115" s="8">
        <v>0</v>
      </c>
    </row>
    <row r="116" spans="1:30" ht="37.5" x14ac:dyDescent="0.25">
      <c r="A116" s="6">
        <v>1122</v>
      </c>
      <c r="B116" s="7" t="s">
        <v>57</v>
      </c>
      <c r="C116" s="7" t="s">
        <v>187</v>
      </c>
      <c r="D116" s="8">
        <v>0.21428571428571427</v>
      </c>
      <c r="E116" s="7" t="s">
        <v>200</v>
      </c>
      <c r="F116" s="7" t="str">
        <f t="shared" si="1"/>
        <v>WK1</v>
      </c>
      <c r="G116" s="8">
        <v>0</v>
      </c>
      <c r="H116" s="8">
        <v>0</v>
      </c>
      <c r="I116" s="8">
        <v>0</v>
      </c>
      <c r="J116" s="8">
        <v>0</v>
      </c>
      <c r="K116" s="8">
        <v>0</v>
      </c>
      <c r="L116" s="8">
        <v>0</v>
      </c>
      <c r="M116" s="8">
        <v>0</v>
      </c>
      <c r="N116" s="8">
        <v>1</v>
      </c>
      <c r="O116" s="8">
        <v>1</v>
      </c>
      <c r="P116" s="8">
        <v>1</v>
      </c>
      <c r="Q116" s="8">
        <v>1</v>
      </c>
      <c r="R116" s="8">
        <v>1</v>
      </c>
      <c r="S116" s="8">
        <v>1</v>
      </c>
      <c r="T116" s="8">
        <v>1</v>
      </c>
      <c r="U116" s="8">
        <v>1</v>
      </c>
      <c r="V116" s="8">
        <v>1</v>
      </c>
      <c r="W116" s="8">
        <v>1</v>
      </c>
      <c r="X116" s="8">
        <v>1</v>
      </c>
      <c r="Y116" s="8">
        <v>1</v>
      </c>
      <c r="Z116" s="8">
        <v>1</v>
      </c>
      <c r="AA116" s="8">
        <v>1</v>
      </c>
      <c r="AB116" s="8">
        <v>0</v>
      </c>
      <c r="AC116" s="8">
        <v>0</v>
      </c>
      <c r="AD116" s="8">
        <v>0</v>
      </c>
    </row>
    <row r="117" spans="1:30" ht="37.5" hidden="1" x14ac:dyDescent="0.25">
      <c r="A117" s="6">
        <v>1123</v>
      </c>
      <c r="B117" s="7" t="s">
        <v>49</v>
      </c>
      <c r="C117" s="7" t="s">
        <v>187</v>
      </c>
      <c r="D117" s="8">
        <v>0.12264814814266667</v>
      </c>
      <c r="E117" s="7" t="s">
        <v>201</v>
      </c>
      <c r="F117" s="7" t="str">
        <f t="shared" si="1"/>
        <v>WK1</v>
      </c>
      <c r="G117" s="8">
        <v>0</v>
      </c>
      <c r="H117" s="8">
        <v>0</v>
      </c>
      <c r="I117" s="8">
        <v>0</v>
      </c>
      <c r="J117" s="8">
        <v>0</v>
      </c>
      <c r="K117" s="8">
        <v>0</v>
      </c>
      <c r="L117" s="8">
        <v>0</v>
      </c>
      <c r="M117" s="8">
        <v>0</v>
      </c>
      <c r="N117" s="8">
        <v>0.25</v>
      </c>
      <c r="O117" s="8">
        <v>0.5</v>
      </c>
      <c r="P117" s="8">
        <v>1</v>
      </c>
      <c r="Q117" s="8">
        <v>1</v>
      </c>
      <c r="R117" s="8">
        <v>1</v>
      </c>
      <c r="S117" s="8">
        <v>0.75</v>
      </c>
      <c r="T117" s="8">
        <v>0.75</v>
      </c>
      <c r="U117" s="8">
        <v>1</v>
      </c>
      <c r="V117" s="8">
        <v>1</v>
      </c>
      <c r="W117" s="8">
        <v>1</v>
      </c>
      <c r="X117" s="8">
        <v>0.5</v>
      </c>
      <c r="Y117" s="8">
        <v>0.25</v>
      </c>
      <c r="Z117" s="8">
        <v>0</v>
      </c>
      <c r="AA117" s="8">
        <v>0</v>
      </c>
      <c r="AB117" s="8">
        <v>0</v>
      </c>
      <c r="AC117" s="8">
        <v>0</v>
      </c>
      <c r="AD117" s="8">
        <v>0</v>
      </c>
    </row>
    <row r="118" spans="1:30" ht="37.5" hidden="1" x14ac:dyDescent="0.25">
      <c r="A118" s="6">
        <v>1124</v>
      </c>
      <c r="B118" s="7" t="s">
        <v>202</v>
      </c>
      <c r="C118" s="7" t="s">
        <v>187</v>
      </c>
      <c r="D118" s="8">
        <v>0.34143518515517246</v>
      </c>
      <c r="E118" s="7" t="s">
        <v>203</v>
      </c>
      <c r="F118" s="7" t="str">
        <f t="shared" si="1"/>
        <v>Wk1</v>
      </c>
      <c r="G118" s="8">
        <v>0</v>
      </c>
      <c r="H118" s="8">
        <v>0</v>
      </c>
      <c r="I118" s="8">
        <v>0</v>
      </c>
      <c r="J118" s="8">
        <v>0</v>
      </c>
      <c r="K118" s="8">
        <v>0</v>
      </c>
      <c r="L118" s="8">
        <v>0</v>
      </c>
      <c r="M118" s="8">
        <v>0</v>
      </c>
      <c r="N118" s="8">
        <v>0</v>
      </c>
      <c r="O118" s="8">
        <v>0</v>
      </c>
      <c r="P118" s="8">
        <v>0.25</v>
      </c>
      <c r="Q118" s="8">
        <v>0.25</v>
      </c>
      <c r="R118" s="8">
        <v>0.25</v>
      </c>
      <c r="S118" s="8">
        <v>0.25</v>
      </c>
      <c r="T118" s="8">
        <v>0.25</v>
      </c>
      <c r="U118" s="8">
        <v>0.25</v>
      </c>
      <c r="V118" s="8">
        <v>0.25</v>
      </c>
      <c r="W118" s="8">
        <v>0.25</v>
      </c>
      <c r="X118" s="8">
        <v>0</v>
      </c>
      <c r="Y118" s="8">
        <v>0</v>
      </c>
      <c r="Z118" s="8">
        <v>0</v>
      </c>
      <c r="AA118" s="8">
        <v>0</v>
      </c>
      <c r="AB118" s="8">
        <v>0</v>
      </c>
      <c r="AC118" s="8">
        <v>0</v>
      </c>
      <c r="AD118" s="8">
        <v>0</v>
      </c>
    </row>
    <row r="119" spans="1:30" ht="37.5" hidden="1" x14ac:dyDescent="0.25">
      <c r="A119" s="8">
        <v>1124</v>
      </c>
      <c r="B119" s="7" t="s">
        <v>202</v>
      </c>
      <c r="C119" s="7" t="s">
        <v>187</v>
      </c>
      <c r="D119" s="8">
        <v>0.34143518515517246</v>
      </c>
      <c r="E119" s="7" t="s">
        <v>204</v>
      </c>
      <c r="F119" s="7" t="str">
        <f t="shared" si="1"/>
        <v>Wk2</v>
      </c>
      <c r="G119" s="8">
        <v>0</v>
      </c>
      <c r="H119" s="8">
        <v>0</v>
      </c>
      <c r="I119" s="8">
        <v>0</v>
      </c>
      <c r="J119" s="8">
        <v>0</v>
      </c>
      <c r="K119" s="8">
        <v>0</v>
      </c>
      <c r="L119" s="8">
        <v>0</v>
      </c>
      <c r="M119" s="8">
        <v>0</v>
      </c>
      <c r="N119" s="8">
        <v>1</v>
      </c>
      <c r="O119" s="8">
        <v>1</v>
      </c>
      <c r="P119" s="8">
        <v>1</v>
      </c>
      <c r="Q119" s="8">
        <v>1</v>
      </c>
      <c r="R119" s="8">
        <v>1</v>
      </c>
      <c r="S119" s="8">
        <v>1</v>
      </c>
      <c r="T119" s="8">
        <v>1</v>
      </c>
      <c r="U119" s="8">
        <v>1</v>
      </c>
      <c r="V119" s="8">
        <v>1</v>
      </c>
      <c r="W119" s="8">
        <v>1</v>
      </c>
      <c r="X119" s="8">
        <v>1</v>
      </c>
      <c r="Y119" s="8">
        <v>1</v>
      </c>
      <c r="Z119" s="8">
        <v>1</v>
      </c>
      <c r="AA119" s="8">
        <v>1</v>
      </c>
      <c r="AB119" s="8">
        <v>0</v>
      </c>
      <c r="AC119" s="8">
        <v>0</v>
      </c>
      <c r="AD119" s="8">
        <v>0</v>
      </c>
    </row>
    <row r="120" spans="1:30" ht="37.5" hidden="1" x14ac:dyDescent="0.25">
      <c r="A120" s="6">
        <v>1125</v>
      </c>
      <c r="B120" s="7" t="s">
        <v>38</v>
      </c>
      <c r="C120" s="7" t="s">
        <v>205</v>
      </c>
      <c r="D120" s="8">
        <v>0.12100000000000005</v>
      </c>
      <c r="E120" s="7" t="s">
        <v>206</v>
      </c>
      <c r="F120" s="7" t="str">
        <f t="shared" si="1"/>
        <v>WK1</v>
      </c>
      <c r="G120" s="8">
        <v>0</v>
      </c>
      <c r="H120" s="8">
        <v>0</v>
      </c>
      <c r="I120" s="8">
        <v>0</v>
      </c>
      <c r="J120" s="8">
        <v>0</v>
      </c>
      <c r="K120" s="8">
        <v>0</v>
      </c>
      <c r="L120" s="8">
        <v>0</v>
      </c>
      <c r="M120" s="8">
        <v>0</v>
      </c>
      <c r="N120" s="8">
        <v>0</v>
      </c>
      <c r="O120" s="8">
        <v>1</v>
      </c>
      <c r="P120" s="8">
        <v>1</v>
      </c>
      <c r="Q120" s="8">
        <v>1</v>
      </c>
      <c r="R120" s="8">
        <v>1</v>
      </c>
      <c r="S120" s="8">
        <v>1</v>
      </c>
      <c r="T120" s="8">
        <v>1</v>
      </c>
      <c r="U120" s="8">
        <v>1</v>
      </c>
      <c r="V120" s="8">
        <v>1</v>
      </c>
      <c r="W120" s="8">
        <v>1</v>
      </c>
      <c r="X120" s="8">
        <v>1</v>
      </c>
      <c r="Y120" s="8">
        <v>0</v>
      </c>
      <c r="Z120" s="8">
        <v>0</v>
      </c>
      <c r="AA120" s="8">
        <v>0</v>
      </c>
      <c r="AB120" s="8">
        <v>0</v>
      </c>
      <c r="AC120" s="8">
        <v>0</v>
      </c>
      <c r="AD120" s="8">
        <v>0</v>
      </c>
    </row>
    <row r="121" spans="1:30" ht="50" hidden="1" x14ac:dyDescent="0.25">
      <c r="A121" s="6">
        <v>1126</v>
      </c>
      <c r="B121" s="7" t="s">
        <v>41</v>
      </c>
      <c r="C121" s="7" t="s">
        <v>205</v>
      </c>
      <c r="D121" s="8">
        <v>0.12100000000000005</v>
      </c>
      <c r="E121" s="7" t="s">
        <v>207</v>
      </c>
      <c r="F121" s="7" t="str">
        <f t="shared" si="1"/>
        <v>WK1</v>
      </c>
      <c r="G121" s="8">
        <v>0</v>
      </c>
      <c r="H121" s="8">
        <v>0</v>
      </c>
      <c r="I121" s="8">
        <v>0</v>
      </c>
      <c r="J121" s="8">
        <v>0</v>
      </c>
      <c r="K121" s="8">
        <v>0</v>
      </c>
      <c r="L121" s="8">
        <v>0</v>
      </c>
      <c r="M121" s="8">
        <v>0</v>
      </c>
      <c r="N121" s="8">
        <v>0</v>
      </c>
      <c r="O121" s="8">
        <v>1</v>
      </c>
      <c r="P121" s="8">
        <v>1</v>
      </c>
      <c r="Q121" s="8">
        <v>1</v>
      </c>
      <c r="R121" s="8">
        <v>1</v>
      </c>
      <c r="S121" s="8">
        <v>1</v>
      </c>
      <c r="T121" s="8">
        <v>1</v>
      </c>
      <c r="U121" s="8">
        <v>1</v>
      </c>
      <c r="V121" s="8">
        <v>1</v>
      </c>
      <c r="W121" s="8">
        <v>1</v>
      </c>
      <c r="X121" s="8">
        <v>1</v>
      </c>
      <c r="Y121" s="8">
        <v>0</v>
      </c>
      <c r="Z121" s="8">
        <v>0</v>
      </c>
      <c r="AA121" s="8">
        <v>0</v>
      </c>
      <c r="AB121" s="8">
        <v>0</v>
      </c>
      <c r="AC121" s="8">
        <v>0</v>
      </c>
      <c r="AD121" s="8">
        <v>0</v>
      </c>
    </row>
    <row r="122" spans="1:30" ht="37.5" hidden="1" x14ac:dyDescent="0.25">
      <c r="A122" s="6">
        <v>1127</v>
      </c>
      <c r="B122" s="7" t="s">
        <v>43</v>
      </c>
      <c r="C122" s="7" t="s">
        <v>205</v>
      </c>
      <c r="D122" s="8">
        <v>0.12100000000000005</v>
      </c>
      <c r="E122" s="7" t="s">
        <v>208</v>
      </c>
      <c r="F122" s="7" t="str">
        <f t="shared" si="1"/>
        <v>WK1</v>
      </c>
      <c r="G122" s="8">
        <v>0</v>
      </c>
      <c r="H122" s="8">
        <v>0</v>
      </c>
      <c r="I122" s="8">
        <v>0</v>
      </c>
      <c r="J122" s="8">
        <v>0</v>
      </c>
      <c r="K122" s="8">
        <v>0</v>
      </c>
      <c r="L122" s="8">
        <v>0</v>
      </c>
      <c r="M122" s="8">
        <v>0</v>
      </c>
      <c r="N122" s="8">
        <v>0</v>
      </c>
      <c r="O122" s="8">
        <v>1</v>
      </c>
      <c r="P122" s="8">
        <v>1</v>
      </c>
      <c r="Q122" s="8">
        <v>1</v>
      </c>
      <c r="R122" s="8">
        <v>1</v>
      </c>
      <c r="S122" s="8">
        <v>1</v>
      </c>
      <c r="T122" s="8">
        <v>1</v>
      </c>
      <c r="U122" s="8">
        <v>1</v>
      </c>
      <c r="V122" s="8">
        <v>1</v>
      </c>
      <c r="W122" s="8">
        <v>1</v>
      </c>
      <c r="X122" s="8">
        <v>1</v>
      </c>
      <c r="Y122" s="8">
        <v>0</v>
      </c>
      <c r="Z122" s="8">
        <v>0</v>
      </c>
      <c r="AA122" s="8">
        <v>0</v>
      </c>
      <c r="AB122" s="8">
        <v>0</v>
      </c>
      <c r="AC122" s="8">
        <v>0</v>
      </c>
      <c r="AD122" s="8">
        <v>0</v>
      </c>
    </row>
    <row r="123" spans="1:30" ht="50" hidden="1" x14ac:dyDescent="0.25">
      <c r="A123" s="6">
        <v>1128</v>
      </c>
      <c r="B123" s="7" t="s">
        <v>45</v>
      </c>
      <c r="C123" s="7" t="s">
        <v>205</v>
      </c>
      <c r="D123" s="8">
        <v>0.1201851851811111</v>
      </c>
      <c r="E123" s="7" t="s">
        <v>209</v>
      </c>
      <c r="F123" s="7" t="str">
        <f t="shared" si="1"/>
        <v>WK1</v>
      </c>
      <c r="G123" s="8">
        <v>0</v>
      </c>
      <c r="H123" s="8">
        <v>0</v>
      </c>
      <c r="I123" s="8">
        <v>0</v>
      </c>
      <c r="J123" s="8">
        <v>0</v>
      </c>
      <c r="K123" s="8">
        <v>0</v>
      </c>
      <c r="L123" s="8">
        <v>0</v>
      </c>
      <c r="M123" s="8">
        <v>0</v>
      </c>
      <c r="N123" s="8">
        <v>0.25</v>
      </c>
      <c r="O123" s="8">
        <v>0.5</v>
      </c>
      <c r="P123" s="8">
        <v>1</v>
      </c>
      <c r="Q123" s="8">
        <v>1</v>
      </c>
      <c r="R123" s="8">
        <v>1</v>
      </c>
      <c r="S123" s="8">
        <v>0.75</v>
      </c>
      <c r="T123" s="8">
        <v>0.75</v>
      </c>
      <c r="U123" s="8">
        <v>1</v>
      </c>
      <c r="V123" s="8">
        <v>1</v>
      </c>
      <c r="W123" s="8">
        <v>1</v>
      </c>
      <c r="X123" s="8">
        <v>0.5</v>
      </c>
      <c r="Y123" s="8">
        <v>0.25</v>
      </c>
      <c r="Z123" s="8">
        <v>0</v>
      </c>
      <c r="AA123" s="8">
        <v>0</v>
      </c>
      <c r="AB123" s="8">
        <v>0</v>
      </c>
      <c r="AC123" s="8">
        <v>0</v>
      </c>
      <c r="AD123" s="8">
        <v>0</v>
      </c>
    </row>
    <row r="124" spans="1:30" ht="50" hidden="1" x14ac:dyDescent="0.25">
      <c r="A124" s="6">
        <v>1129</v>
      </c>
      <c r="B124" s="7" t="s">
        <v>53</v>
      </c>
      <c r="C124" s="7" t="s">
        <v>205</v>
      </c>
      <c r="D124" s="8">
        <v>0.13</v>
      </c>
      <c r="E124" s="7" t="s">
        <v>210</v>
      </c>
      <c r="F124" s="7" t="str">
        <f t="shared" si="1"/>
        <v>WK1</v>
      </c>
      <c r="G124" s="8">
        <v>0</v>
      </c>
      <c r="H124" s="8">
        <v>0</v>
      </c>
      <c r="I124" s="8">
        <v>0</v>
      </c>
      <c r="J124" s="8">
        <v>0</v>
      </c>
      <c r="K124" s="8">
        <v>0</v>
      </c>
      <c r="L124" s="8">
        <v>0</v>
      </c>
      <c r="M124" s="8">
        <v>0</v>
      </c>
      <c r="N124" s="8">
        <v>1</v>
      </c>
      <c r="O124" s="8">
        <v>1</v>
      </c>
      <c r="P124" s="8">
        <v>1</v>
      </c>
      <c r="Q124" s="8">
        <v>1</v>
      </c>
      <c r="R124" s="8">
        <v>1</v>
      </c>
      <c r="S124" s="8">
        <v>1</v>
      </c>
      <c r="T124" s="8">
        <v>1</v>
      </c>
      <c r="U124" s="8">
        <v>1</v>
      </c>
      <c r="V124" s="8">
        <v>1</v>
      </c>
      <c r="W124" s="8">
        <v>1</v>
      </c>
      <c r="X124" s="8">
        <v>1</v>
      </c>
      <c r="Y124" s="8">
        <v>1</v>
      </c>
      <c r="Z124" s="8">
        <v>1</v>
      </c>
      <c r="AA124" s="8">
        <v>0</v>
      </c>
      <c r="AB124" s="8">
        <v>0</v>
      </c>
      <c r="AC124" s="8">
        <v>0</v>
      </c>
      <c r="AD124" s="8">
        <v>0</v>
      </c>
    </row>
    <row r="125" spans="1:30" ht="50" hidden="1" x14ac:dyDescent="0.25">
      <c r="A125" s="6">
        <v>1130</v>
      </c>
      <c r="B125" s="7" t="s">
        <v>55</v>
      </c>
      <c r="C125" s="7" t="s">
        <v>205</v>
      </c>
      <c r="D125" s="8">
        <v>0.21533898305084739</v>
      </c>
      <c r="E125" s="7" t="s">
        <v>211</v>
      </c>
      <c r="F125" s="7" t="str">
        <f t="shared" si="1"/>
        <v>WK1</v>
      </c>
      <c r="G125" s="8">
        <v>0</v>
      </c>
      <c r="H125" s="8">
        <v>0</v>
      </c>
      <c r="I125" s="8">
        <v>0</v>
      </c>
      <c r="J125" s="8">
        <v>0</v>
      </c>
      <c r="K125" s="8">
        <v>0</v>
      </c>
      <c r="L125" s="8">
        <v>0</v>
      </c>
      <c r="M125" s="8">
        <v>0</v>
      </c>
      <c r="N125" s="8">
        <v>0</v>
      </c>
      <c r="O125" s="8">
        <v>0</v>
      </c>
      <c r="P125" s="8">
        <v>0</v>
      </c>
      <c r="Q125" s="8">
        <v>0</v>
      </c>
      <c r="R125" s="8">
        <v>0.25</v>
      </c>
      <c r="S125" s="8">
        <v>1</v>
      </c>
      <c r="T125" s="8">
        <v>1</v>
      </c>
      <c r="U125" s="8">
        <v>0.75</v>
      </c>
      <c r="V125" s="8">
        <v>0</v>
      </c>
      <c r="W125" s="8">
        <v>0</v>
      </c>
      <c r="X125" s="8">
        <v>0</v>
      </c>
      <c r="Y125" s="8">
        <v>0</v>
      </c>
      <c r="Z125" s="8">
        <v>0</v>
      </c>
      <c r="AA125" s="8">
        <v>0</v>
      </c>
      <c r="AB125" s="8">
        <v>0</v>
      </c>
      <c r="AC125" s="8">
        <v>0</v>
      </c>
      <c r="AD125" s="8">
        <v>0</v>
      </c>
    </row>
    <row r="126" spans="1:30" ht="37.5" hidden="1" x14ac:dyDescent="0.25">
      <c r="A126" s="6">
        <v>1131</v>
      </c>
      <c r="B126" s="7" t="s">
        <v>80</v>
      </c>
      <c r="C126" s="7" t="s">
        <v>205</v>
      </c>
      <c r="D126" s="8">
        <v>0.05</v>
      </c>
      <c r="E126" s="7" t="s">
        <v>212</v>
      </c>
      <c r="F126" s="7" t="str">
        <f t="shared" si="1"/>
        <v>WK1</v>
      </c>
      <c r="G126" s="8">
        <v>0</v>
      </c>
      <c r="H126" s="8">
        <v>0</v>
      </c>
      <c r="I126" s="8">
        <v>0</v>
      </c>
      <c r="J126" s="8">
        <v>0</v>
      </c>
      <c r="K126" s="8">
        <v>0</v>
      </c>
      <c r="L126" s="8">
        <v>0</v>
      </c>
      <c r="M126" s="8">
        <v>0</v>
      </c>
      <c r="N126" s="8">
        <v>0</v>
      </c>
      <c r="O126" s="8">
        <v>0</v>
      </c>
      <c r="P126" s="8">
        <v>1</v>
      </c>
      <c r="Q126" s="8">
        <v>1</v>
      </c>
      <c r="R126" s="8">
        <v>1</v>
      </c>
      <c r="S126" s="8">
        <v>1</v>
      </c>
      <c r="T126" s="8">
        <v>1</v>
      </c>
      <c r="U126" s="8">
        <v>1</v>
      </c>
      <c r="V126" s="8">
        <v>1</v>
      </c>
      <c r="W126" s="8">
        <v>1</v>
      </c>
      <c r="X126" s="8">
        <v>1</v>
      </c>
      <c r="Y126" s="8">
        <v>1</v>
      </c>
      <c r="Z126" s="8">
        <v>1</v>
      </c>
      <c r="AA126" s="8">
        <v>1</v>
      </c>
      <c r="AB126" s="8">
        <v>0</v>
      </c>
      <c r="AC126" s="8">
        <v>0</v>
      </c>
      <c r="AD126" s="8">
        <v>0</v>
      </c>
    </row>
    <row r="127" spans="1:30" ht="50" x14ac:dyDescent="0.25">
      <c r="A127" s="6">
        <v>1132</v>
      </c>
      <c r="B127" s="7" t="s">
        <v>57</v>
      </c>
      <c r="C127" s="7" t="s">
        <v>205</v>
      </c>
      <c r="D127" s="8">
        <v>0.41288135586101687</v>
      </c>
      <c r="E127" s="7" t="s">
        <v>213</v>
      </c>
      <c r="F127" s="7" t="str">
        <f t="shared" si="1"/>
        <v>WK1</v>
      </c>
      <c r="G127" s="8">
        <v>0</v>
      </c>
      <c r="H127" s="8">
        <v>0</v>
      </c>
      <c r="I127" s="8">
        <v>0</v>
      </c>
      <c r="J127" s="8">
        <v>0</v>
      </c>
      <c r="K127" s="8">
        <v>0</v>
      </c>
      <c r="L127" s="8">
        <v>0</v>
      </c>
      <c r="M127" s="8">
        <v>0</v>
      </c>
      <c r="N127" s="8">
        <v>0</v>
      </c>
      <c r="O127" s="8">
        <v>0</v>
      </c>
      <c r="P127" s="8">
        <v>0</v>
      </c>
      <c r="Q127" s="8">
        <v>0</v>
      </c>
      <c r="R127" s="8">
        <v>0.25</v>
      </c>
      <c r="S127" s="8">
        <v>1</v>
      </c>
      <c r="T127" s="8">
        <v>1</v>
      </c>
      <c r="U127" s="8">
        <v>0.75</v>
      </c>
      <c r="V127" s="8">
        <v>0</v>
      </c>
      <c r="W127" s="8">
        <v>0</v>
      </c>
      <c r="X127" s="8">
        <v>0</v>
      </c>
      <c r="Y127" s="8">
        <v>0</v>
      </c>
      <c r="Z127" s="8">
        <v>0</v>
      </c>
      <c r="AA127" s="8">
        <v>0</v>
      </c>
      <c r="AB127" s="8">
        <v>0</v>
      </c>
      <c r="AC127" s="8">
        <v>0</v>
      </c>
      <c r="AD127" s="8">
        <v>0</v>
      </c>
    </row>
    <row r="128" spans="1:30" ht="37.5" hidden="1" x14ac:dyDescent="0.25">
      <c r="A128" s="6">
        <v>1133</v>
      </c>
      <c r="B128" s="7" t="s">
        <v>47</v>
      </c>
      <c r="C128" s="7" t="s">
        <v>205</v>
      </c>
      <c r="D128" s="8">
        <v>0.11</v>
      </c>
      <c r="E128" s="7" t="s">
        <v>214</v>
      </c>
      <c r="F128" s="7" t="str">
        <f t="shared" si="1"/>
        <v>WK1</v>
      </c>
      <c r="G128" s="8">
        <v>0</v>
      </c>
      <c r="H128" s="8">
        <v>0</v>
      </c>
      <c r="I128" s="8">
        <v>0</v>
      </c>
      <c r="J128" s="8">
        <v>0</v>
      </c>
      <c r="K128" s="8">
        <v>0</v>
      </c>
      <c r="L128" s="8">
        <v>0</v>
      </c>
      <c r="M128" s="8">
        <v>0</v>
      </c>
      <c r="N128" s="8">
        <v>0</v>
      </c>
      <c r="O128" s="8">
        <v>0</v>
      </c>
      <c r="P128" s="8">
        <v>0</v>
      </c>
      <c r="Q128" s="8">
        <v>0</v>
      </c>
      <c r="R128" s="8">
        <v>0</v>
      </c>
      <c r="S128" s="8">
        <v>0</v>
      </c>
      <c r="T128" s="8">
        <v>0</v>
      </c>
      <c r="U128" s="8">
        <v>0</v>
      </c>
      <c r="V128" s="8">
        <v>0</v>
      </c>
      <c r="W128" s="8">
        <v>0</v>
      </c>
      <c r="X128" s="8">
        <v>0</v>
      </c>
      <c r="Y128" s="8">
        <v>0</v>
      </c>
      <c r="Z128" s="8">
        <v>0</v>
      </c>
      <c r="AA128" s="8">
        <v>0</v>
      </c>
      <c r="AB128" s="8">
        <v>0</v>
      </c>
      <c r="AC128" s="8">
        <v>0</v>
      </c>
      <c r="AD128" s="8">
        <v>0</v>
      </c>
    </row>
    <row r="129" spans="1:30" ht="37.5" hidden="1" x14ac:dyDescent="0.25">
      <c r="A129" s="6">
        <v>1134</v>
      </c>
      <c r="B129" s="7" t="s">
        <v>215</v>
      </c>
      <c r="C129" s="7" t="s">
        <v>205</v>
      </c>
      <c r="D129" s="8">
        <v>0.22285714285714284</v>
      </c>
      <c r="E129" s="7" t="s">
        <v>216</v>
      </c>
      <c r="F129" s="7" t="str">
        <f t="shared" si="1"/>
        <v>WK1</v>
      </c>
      <c r="G129" s="8">
        <v>1</v>
      </c>
      <c r="H129" s="8">
        <v>1</v>
      </c>
      <c r="I129" s="8">
        <v>1</v>
      </c>
      <c r="J129" s="8">
        <v>1</v>
      </c>
      <c r="K129" s="8">
        <v>1</v>
      </c>
      <c r="L129" s="8">
        <v>1</v>
      </c>
      <c r="M129" s="8">
        <v>1</v>
      </c>
      <c r="N129" s="8">
        <v>0.5</v>
      </c>
      <c r="O129" s="8">
        <v>0.25</v>
      </c>
      <c r="P129" s="8">
        <v>0</v>
      </c>
      <c r="Q129" s="8">
        <v>0</v>
      </c>
      <c r="R129" s="8">
        <v>0</v>
      </c>
      <c r="S129" s="8">
        <v>0</v>
      </c>
      <c r="T129" s="8">
        <v>0</v>
      </c>
      <c r="U129" s="8">
        <v>0</v>
      </c>
      <c r="V129" s="8">
        <v>0</v>
      </c>
      <c r="W129" s="8">
        <v>0</v>
      </c>
      <c r="X129" s="8">
        <v>0</v>
      </c>
      <c r="Y129" s="8">
        <v>0</v>
      </c>
      <c r="Z129" s="8">
        <v>0</v>
      </c>
      <c r="AA129" s="8">
        <v>0</v>
      </c>
      <c r="AB129" s="8">
        <v>0</v>
      </c>
      <c r="AC129" s="8">
        <v>0.25</v>
      </c>
      <c r="AD129" s="8">
        <v>0.75</v>
      </c>
    </row>
    <row r="130" spans="1:30" ht="37.5" hidden="1" x14ac:dyDescent="0.25">
      <c r="A130" s="6">
        <v>1135</v>
      </c>
      <c r="B130" s="7" t="s">
        <v>217</v>
      </c>
      <c r="C130" s="7" t="s">
        <v>205</v>
      </c>
      <c r="D130" s="8">
        <v>9.1428571428571428E-2</v>
      </c>
      <c r="E130" s="7" t="s">
        <v>218</v>
      </c>
      <c r="F130" s="7" t="str">
        <f t="shared" si="1"/>
        <v>WK1</v>
      </c>
      <c r="G130" s="8">
        <v>1</v>
      </c>
      <c r="H130" s="8">
        <v>1</v>
      </c>
      <c r="I130" s="8">
        <v>1</v>
      </c>
      <c r="J130" s="8">
        <v>1</v>
      </c>
      <c r="K130" s="8">
        <v>1</v>
      </c>
      <c r="L130" s="8">
        <v>1</v>
      </c>
      <c r="M130" s="8">
        <v>1</v>
      </c>
      <c r="N130" s="8">
        <v>0.5</v>
      </c>
      <c r="O130" s="8">
        <v>0.25</v>
      </c>
      <c r="P130" s="8">
        <v>0</v>
      </c>
      <c r="Q130" s="8">
        <v>0</v>
      </c>
      <c r="R130" s="8">
        <v>0</v>
      </c>
      <c r="S130" s="8">
        <v>0</v>
      </c>
      <c r="T130" s="8">
        <v>0</v>
      </c>
      <c r="U130" s="8">
        <v>0</v>
      </c>
      <c r="V130" s="8">
        <v>0</v>
      </c>
      <c r="W130" s="8">
        <v>0</v>
      </c>
      <c r="X130" s="8">
        <v>0</v>
      </c>
      <c r="Y130" s="8">
        <v>0</v>
      </c>
      <c r="Z130" s="8">
        <v>0</v>
      </c>
      <c r="AA130" s="8">
        <v>0</v>
      </c>
      <c r="AB130" s="8">
        <v>0</v>
      </c>
      <c r="AC130" s="8">
        <v>0.25</v>
      </c>
      <c r="AD130" s="8">
        <v>0.75</v>
      </c>
    </row>
    <row r="131" spans="1:30" ht="37.5" hidden="1" x14ac:dyDescent="0.25">
      <c r="A131" s="6">
        <v>1136</v>
      </c>
      <c r="B131" s="7" t="s">
        <v>181</v>
      </c>
      <c r="C131" s="7" t="s">
        <v>205</v>
      </c>
      <c r="D131" s="8">
        <v>0.16603773584905662</v>
      </c>
      <c r="E131" s="7" t="s">
        <v>219</v>
      </c>
      <c r="F131" s="7" t="str">
        <f t="shared" si="1"/>
        <v>WK1</v>
      </c>
      <c r="G131" s="8">
        <v>0</v>
      </c>
      <c r="H131" s="8">
        <v>0</v>
      </c>
      <c r="I131" s="8">
        <v>0</v>
      </c>
      <c r="J131" s="8">
        <v>0</v>
      </c>
      <c r="K131" s="8">
        <v>0</v>
      </c>
      <c r="L131" s="8">
        <v>0</v>
      </c>
      <c r="M131" s="8">
        <v>0.25</v>
      </c>
      <c r="N131" s="8">
        <v>1</v>
      </c>
      <c r="O131" s="8">
        <v>1</v>
      </c>
      <c r="P131" s="8">
        <v>0.25</v>
      </c>
      <c r="Q131" s="8">
        <v>0</v>
      </c>
      <c r="R131" s="8">
        <v>0</v>
      </c>
      <c r="S131" s="8">
        <v>0</v>
      </c>
      <c r="T131" s="8">
        <v>0</v>
      </c>
      <c r="U131" s="8">
        <v>0</v>
      </c>
      <c r="V131" s="8">
        <v>0</v>
      </c>
      <c r="W131" s="8">
        <v>0</v>
      </c>
      <c r="X131" s="8">
        <v>0</v>
      </c>
      <c r="Y131" s="8">
        <v>0.5</v>
      </c>
      <c r="Z131" s="8">
        <v>1</v>
      </c>
      <c r="AA131" s="8">
        <v>1</v>
      </c>
      <c r="AB131" s="8">
        <v>0.3</v>
      </c>
      <c r="AC131" s="8">
        <v>0</v>
      </c>
      <c r="AD131" s="8">
        <v>0</v>
      </c>
    </row>
    <row r="132" spans="1:30" ht="37.5" hidden="1" x14ac:dyDescent="0.25">
      <c r="A132" s="6">
        <v>1137</v>
      </c>
      <c r="B132" s="7" t="s">
        <v>51</v>
      </c>
      <c r="C132" s="7" t="s">
        <v>205</v>
      </c>
      <c r="D132" s="8">
        <v>0.17</v>
      </c>
      <c r="E132" s="7" t="s">
        <v>212</v>
      </c>
      <c r="F132" s="7" t="str">
        <f t="shared" si="1"/>
        <v>WK1</v>
      </c>
      <c r="G132" s="8">
        <v>0</v>
      </c>
      <c r="H132" s="8">
        <v>0</v>
      </c>
      <c r="I132" s="8">
        <v>0</v>
      </c>
      <c r="J132" s="8">
        <v>0</v>
      </c>
      <c r="K132" s="8">
        <v>0</v>
      </c>
      <c r="L132" s="8">
        <v>0</v>
      </c>
      <c r="M132" s="8">
        <v>0</v>
      </c>
      <c r="N132" s="8">
        <v>0</v>
      </c>
      <c r="O132" s="8">
        <v>0</v>
      </c>
      <c r="P132" s="8">
        <v>1</v>
      </c>
      <c r="Q132" s="8">
        <v>1</v>
      </c>
      <c r="R132" s="8">
        <v>1</v>
      </c>
      <c r="S132" s="8">
        <v>1</v>
      </c>
      <c r="T132" s="8">
        <v>1</v>
      </c>
      <c r="U132" s="8">
        <v>1</v>
      </c>
      <c r="V132" s="8">
        <v>1</v>
      </c>
      <c r="W132" s="8">
        <v>1</v>
      </c>
      <c r="X132" s="8">
        <v>1</v>
      </c>
      <c r="Y132" s="8">
        <v>1</v>
      </c>
      <c r="Z132" s="8">
        <v>1</v>
      </c>
      <c r="AA132" s="8">
        <v>1</v>
      </c>
      <c r="AB132" s="8">
        <v>0</v>
      </c>
      <c r="AC132" s="8">
        <v>0</v>
      </c>
      <c r="AD132" s="8">
        <v>0</v>
      </c>
    </row>
    <row r="133" spans="1:30" ht="37.5" hidden="1" x14ac:dyDescent="0.25">
      <c r="A133" s="6">
        <v>1138</v>
      </c>
      <c r="B133" s="7" t="s">
        <v>49</v>
      </c>
      <c r="C133" s="7" t="s">
        <v>205</v>
      </c>
      <c r="D133" s="8">
        <v>0.12765000000000001</v>
      </c>
      <c r="E133" s="7" t="s">
        <v>220</v>
      </c>
      <c r="F133" s="7" t="str">
        <f t="shared" si="1"/>
        <v>WK1</v>
      </c>
      <c r="G133" s="8">
        <v>0</v>
      </c>
      <c r="H133" s="8">
        <v>0</v>
      </c>
      <c r="I133" s="8">
        <v>0</v>
      </c>
      <c r="J133" s="8">
        <v>0</v>
      </c>
      <c r="K133" s="8">
        <v>0</v>
      </c>
      <c r="L133" s="8">
        <v>0</v>
      </c>
      <c r="M133" s="8">
        <v>0</v>
      </c>
      <c r="N133" s="8">
        <v>0.25</v>
      </c>
      <c r="O133" s="8">
        <v>0.5</v>
      </c>
      <c r="P133" s="8">
        <v>1</v>
      </c>
      <c r="Q133" s="8">
        <v>1</v>
      </c>
      <c r="R133" s="8">
        <v>1</v>
      </c>
      <c r="S133" s="8">
        <v>0.75</v>
      </c>
      <c r="T133" s="8">
        <v>0.75</v>
      </c>
      <c r="U133" s="8">
        <v>1</v>
      </c>
      <c r="V133" s="8">
        <v>1</v>
      </c>
      <c r="W133" s="8">
        <v>1</v>
      </c>
      <c r="X133" s="8">
        <v>0.5</v>
      </c>
      <c r="Y133" s="8">
        <v>0.25</v>
      </c>
      <c r="Z133" s="8">
        <v>0</v>
      </c>
      <c r="AA133" s="8">
        <v>0</v>
      </c>
      <c r="AB133" s="8">
        <v>0</v>
      </c>
      <c r="AC133" s="8">
        <v>0</v>
      </c>
      <c r="AD133" s="8">
        <v>0</v>
      </c>
    </row>
    <row r="134" spans="1:30" ht="50" hidden="1" x14ac:dyDescent="0.25">
      <c r="A134" s="6">
        <v>1139</v>
      </c>
      <c r="B134" s="7" t="s">
        <v>41</v>
      </c>
      <c r="C134" s="7" t="s">
        <v>221</v>
      </c>
      <c r="D134" s="8">
        <v>0.10679611650485436</v>
      </c>
      <c r="E134" s="7" t="s">
        <v>222</v>
      </c>
      <c r="F134" s="7" t="str">
        <f t="shared" si="1"/>
        <v>WK1</v>
      </c>
      <c r="G134" s="8">
        <v>0</v>
      </c>
      <c r="H134" s="8">
        <v>0</v>
      </c>
      <c r="I134" s="8">
        <v>0</v>
      </c>
      <c r="J134" s="8">
        <v>0</v>
      </c>
      <c r="K134" s="8">
        <v>0</v>
      </c>
      <c r="L134" s="8">
        <v>0</v>
      </c>
      <c r="M134" s="8">
        <v>0</v>
      </c>
      <c r="N134" s="8">
        <v>0.1</v>
      </c>
      <c r="O134" s="8">
        <v>0.25</v>
      </c>
      <c r="P134" s="8">
        <v>0.75</v>
      </c>
      <c r="Q134" s="8">
        <v>1</v>
      </c>
      <c r="R134" s="8">
        <v>1</v>
      </c>
      <c r="S134" s="8">
        <v>0.5</v>
      </c>
      <c r="T134" s="8">
        <v>0.5</v>
      </c>
      <c r="U134" s="8">
        <v>1</v>
      </c>
      <c r="V134" s="8">
        <v>1</v>
      </c>
      <c r="W134" s="8">
        <v>0.5</v>
      </c>
      <c r="X134" s="8">
        <v>0.5</v>
      </c>
      <c r="Y134" s="8">
        <v>0</v>
      </c>
      <c r="Z134" s="8">
        <v>0</v>
      </c>
      <c r="AA134" s="8">
        <v>0</v>
      </c>
      <c r="AB134" s="8">
        <v>0</v>
      </c>
      <c r="AC134" s="8">
        <v>0</v>
      </c>
      <c r="AD134" s="8">
        <v>0</v>
      </c>
    </row>
    <row r="135" spans="1:30" ht="37.5" hidden="1" x14ac:dyDescent="0.25">
      <c r="A135" s="6">
        <v>1140</v>
      </c>
      <c r="B135" s="7" t="s">
        <v>43</v>
      </c>
      <c r="C135" s="7" t="s">
        <v>221</v>
      </c>
      <c r="D135" s="8">
        <v>0.20058823529411765</v>
      </c>
      <c r="E135" s="7" t="s">
        <v>223</v>
      </c>
      <c r="F135" s="7" t="str">
        <f t="shared" si="1"/>
        <v>WK1</v>
      </c>
      <c r="G135" s="8">
        <v>0</v>
      </c>
      <c r="H135" s="8">
        <v>0</v>
      </c>
      <c r="I135" s="8">
        <v>0</v>
      </c>
      <c r="J135" s="8">
        <v>0</v>
      </c>
      <c r="K135" s="8">
        <v>0</v>
      </c>
      <c r="L135" s="8">
        <v>0</v>
      </c>
      <c r="M135" s="8">
        <v>0</v>
      </c>
      <c r="N135" s="8">
        <v>0</v>
      </c>
      <c r="O135" s="8">
        <v>0</v>
      </c>
      <c r="P135" s="8">
        <v>0</v>
      </c>
      <c r="Q135" s="8">
        <v>0</v>
      </c>
      <c r="R135" s="8">
        <v>0.25</v>
      </c>
      <c r="S135" s="8">
        <v>1</v>
      </c>
      <c r="T135" s="8">
        <v>1</v>
      </c>
      <c r="U135" s="8">
        <v>0.75</v>
      </c>
      <c r="V135" s="8">
        <v>0</v>
      </c>
      <c r="W135" s="8">
        <v>0</v>
      </c>
      <c r="X135" s="8">
        <v>0</v>
      </c>
      <c r="Y135" s="8">
        <v>0</v>
      </c>
      <c r="Z135" s="8">
        <v>0</v>
      </c>
      <c r="AA135" s="8">
        <v>0</v>
      </c>
      <c r="AB135" s="8">
        <v>0</v>
      </c>
      <c r="AC135" s="8">
        <v>0</v>
      </c>
      <c r="AD135" s="8">
        <v>0</v>
      </c>
    </row>
    <row r="136" spans="1:30" ht="50" hidden="1" x14ac:dyDescent="0.25">
      <c r="A136" s="6">
        <v>1141</v>
      </c>
      <c r="B136" s="7" t="s">
        <v>45</v>
      </c>
      <c r="C136" s="7" t="s">
        <v>221</v>
      </c>
      <c r="D136" s="8">
        <v>0.12375</v>
      </c>
      <c r="E136" s="7" t="s">
        <v>224</v>
      </c>
      <c r="F136" s="7" t="str">
        <f t="shared" si="1"/>
        <v>WK1</v>
      </c>
      <c r="G136" s="8">
        <v>0</v>
      </c>
      <c r="H136" s="8">
        <v>0</v>
      </c>
      <c r="I136" s="8">
        <v>0</v>
      </c>
      <c r="J136" s="8">
        <v>0</v>
      </c>
      <c r="K136" s="8">
        <v>0</v>
      </c>
      <c r="L136" s="8">
        <v>0</v>
      </c>
      <c r="M136" s="8">
        <v>0</v>
      </c>
      <c r="N136" s="8">
        <v>0</v>
      </c>
      <c r="O136" s="8">
        <v>0</v>
      </c>
      <c r="P136" s="8">
        <v>1</v>
      </c>
      <c r="Q136" s="8">
        <v>1</v>
      </c>
      <c r="R136" s="8">
        <v>1</v>
      </c>
      <c r="S136" s="8">
        <v>1</v>
      </c>
      <c r="T136" s="8">
        <v>1</v>
      </c>
      <c r="U136" s="8">
        <v>1</v>
      </c>
      <c r="V136" s="8">
        <v>1</v>
      </c>
      <c r="W136" s="8">
        <v>1</v>
      </c>
      <c r="X136" s="8">
        <v>0</v>
      </c>
      <c r="Y136" s="8">
        <v>0</v>
      </c>
      <c r="Z136" s="8">
        <v>0</v>
      </c>
      <c r="AA136" s="8">
        <v>0</v>
      </c>
      <c r="AB136" s="8">
        <v>0</v>
      </c>
      <c r="AC136" s="8">
        <v>0</v>
      </c>
      <c r="AD136" s="8">
        <v>0</v>
      </c>
    </row>
    <row r="137" spans="1:30" ht="37.5" hidden="1" x14ac:dyDescent="0.25">
      <c r="A137" s="6">
        <v>1142</v>
      </c>
      <c r="B137" s="7" t="s">
        <v>47</v>
      </c>
      <c r="C137" s="7" t="s">
        <v>221</v>
      </c>
      <c r="D137" s="8">
        <v>0.11</v>
      </c>
      <c r="E137" s="7" t="s">
        <v>225</v>
      </c>
      <c r="F137" s="7" t="str">
        <f t="shared" si="1"/>
        <v>WK1</v>
      </c>
      <c r="G137" s="8">
        <v>0</v>
      </c>
      <c r="H137" s="8">
        <v>0</v>
      </c>
      <c r="I137" s="8">
        <v>0</v>
      </c>
      <c r="J137" s="8">
        <v>0</v>
      </c>
      <c r="K137" s="8">
        <v>0</v>
      </c>
      <c r="L137" s="8">
        <v>0</v>
      </c>
      <c r="M137" s="8">
        <v>0</v>
      </c>
      <c r="N137" s="8">
        <v>0</v>
      </c>
      <c r="O137" s="8">
        <v>0</v>
      </c>
      <c r="P137" s="8">
        <v>0</v>
      </c>
      <c r="Q137" s="8">
        <v>0</v>
      </c>
      <c r="R137" s="8">
        <v>0</v>
      </c>
      <c r="S137" s="8">
        <v>0</v>
      </c>
      <c r="T137" s="8">
        <v>0</v>
      </c>
      <c r="U137" s="8">
        <v>0</v>
      </c>
      <c r="V137" s="8">
        <v>0</v>
      </c>
      <c r="W137" s="8">
        <v>0</v>
      </c>
      <c r="X137" s="8">
        <v>0</v>
      </c>
      <c r="Y137" s="8">
        <v>0</v>
      </c>
      <c r="Z137" s="8">
        <v>0</v>
      </c>
      <c r="AA137" s="8">
        <v>0</v>
      </c>
      <c r="AB137" s="8">
        <v>0</v>
      </c>
      <c r="AC137" s="8">
        <v>0</v>
      </c>
      <c r="AD137" s="8">
        <v>0</v>
      </c>
    </row>
    <row r="138" spans="1:30" ht="37.5" hidden="1" x14ac:dyDescent="0.25">
      <c r="A138" s="6">
        <v>1143</v>
      </c>
      <c r="B138" s="7" t="s">
        <v>38</v>
      </c>
      <c r="C138" s="7" t="s">
        <v>221</v>
      </c>
      <c r="D138" s="8">
        <v>9.3333333333333338E-2</v>
      </c>
      <c r="E138" s="7" t="s">
        <v>226</v>
      </c>
      <c r="F138" s="7" t="str">
        <f t="shared" ref="F138:F201" si="2">RIGHT(E138,3)</f>
        <v>WK1</v>
      </c>
      <c r="G138" s="8">
        <v>0</v>
      </c>
      <c r="H138" s="8">
        <v>0</v>
      </c>
      <c r="I138" s="8">
        <v>0</v>
      </c>
      <c r="J138" s="8">
        <v>0</v>
      </c>
      <c r="K138" s="8">
        <v>0</v>
      </c>
      <c r="L138" s="8">
        <v>0</v>
      </c>
      <c r="M138" s="8">
        <v>0</v>
      </c>
      <c r="N138" s="8">
        <v>0</v>
      </c>
      <c r="O138" s="8">
        <v>1</v>
      </c>
      <c r="P138" s="8">
        <v>1</v>
      </c>
      <c r="Q138" s="8">
        <v>1</v>
      </c>
      <c r="R138" s="8">
        <v>1</v>
      </c>
      <c r="S138" s="8">
        <v>1</v>
      </c>
      <c r="T138" s="8">
        <v>1</v>
      </c>
      <c r="U138" s="8">
        <v>1</v>
      </c>
      <c r="V138" s="8">
        <v>1</v>
      </c>
      <c r="W138" s="8">
        <v>1</v>
      </c>
      <c r="X138" s="8">
        <v>1</v>
      </c>
      <c r="Y138" s="8">
        <v>0</v>
      </c>
      <c r="Z138" s="8">
        <v>0</v>
      </c>
      <c r="AA138" s="8">
        <v>0</v>
      </c>
      <c r="AB138" s="8">
        <v>0</v>
      </c>
      <c r="AC138" s="8">
        <v>0</v>
      </c>
      <c r="AD138" s="8">
        <v>0</v>
      </c>
    </row>
    <row r="139" spans="1:30" ht="37.5" hidden="1" x14ac:dyDescent="0.25">
      <c r="A139" s="6">
        <v>1144</v>
      </c>
      <c r="B139" s="7" t="s">
        <v>49</v>
      </c>
      <c r="C139" s="7" t="s">
        <v>221</v>
      </c>
      <c r="D139" s="8">
        <v>9.9627049180327887E-2</v>
      </c>
      <c r="E139" s="7" t="s">
        <v>227</v>
      </c>
      <c r="F139" s="7" t="str">
        <f t="shared" si="2"/>
        <v>WK1</v>
      </c>
      <c r="G139" s="8">
        <v>0</v>
      </c>
      <c r="H139" s="8">
        <v>0</v>
      </c>
      <c r="I139" s="8">
        <v>0</v>
      </c>
      <c r="J139" s="8">
        <v>0</v>
      </c>
      <c r="K139" s="8">
        <v>0</v>
      </c>
      <c r="L139" s="8">
        <v>0</v>
      </c>
      <c r="M139" s="8">
        <v>0</v>
      </c>
      <c r="N139" s="8">
        <v>0.25</v>
      </c>
      <c r="O139" s="8">
        <v>0.5</v>
      </c>
      <c r="P139" s="8">
        <v>1</v>
      </c>
      <c r="Q139" s="8">
        <v>1</v>
      </c>
      <c r="R139" s="8">
        <v>1</v>
      </c>
      <c r="S139" s="8">
        <v>0.75</v>
      </c>
      <c r="T139" s="8">
        <v>0.75</v>
      </c>
      <c r="U139" s="8">
        <v>1</v>
      </c>
      <c r="V139" s="8">
        <v>1</v>
      </c>
      <c r="W139" s="8">
        <v>1</v>
      </c>
      <c r="X139" s="8">
        <v>0.5</v>
      </c>
      <c r="Y139" s="8">
        <v>0.25</v>
      </c>
      <c r="Z139" s="8">
        <v>0</v>
      </c>
      <c r="AA139" s="8">
        <v>0</v>
      </c>
      <c r="AB139" s="8">
        <v>0</v>
      </c>
      <c r="AC139" s="8">
        <v>0</v>
      </c>
      <c r="AD139" s="8">
        <v>0</v>
      </c>
    </row>
    <row r="140" spans="1:30" ht="50" hidden="1" x14ac:dyDescent="0.25">
      <c r="A140" s="6">
        <v>1145</v>
      </c>
      <c r="B140" s="7" t="s">
        <v>228</v>
      </c>
      <c r="C140" s="7" t="s">
        <v>229</v>
      </c>
      <c r="D140" s="8">
        <v>9.6250000000000002E-2</v>
      </c>
      <c r="E140" s="7" t="s">
        <v>230</v>
      </c>
      <c r="F140" s="7" t="str">
        <f t="shared" si="2"/>
        <v>Wk1</v>
      </c>
      <c r="G140" s="8">
        <v>0</v>
      </c>
      <c r="H140" s="8">
        <v>0</v>
      </c>
      <c r="I140" s="8">
        <v>0</v>
      </c>
      <c r="J140" s="8">
        <v>0</v>
      </c>
      <c r="K140" s="8">
        <v>0</v>
      </c>
      <c r="L140" s="8">
        <v>0</v>
      </c>
      <c r="M140" s="8">
        <v>0</v>
      </c>
      <c r="N140" s="8">
        <v>0</v>
      </c>
      <c r="O140" s="8">
        <v>0</v>
      </c>
      <c r="P140" s="8">
        <v>1</v>
      </c>
      <c r="Q140" s="8">
        <v>1</v>
      </c>
      <c r="R140" s="8">
        <v>1</v>
      </c>
      <c r="S140" s="8">
        <v>1</v>
      </c>
      <c r="T140" s="8">
        <v>1</v>
      </c>
      <c r="U140" s="8">
        <v>1</v>
      </c>
      <c r="V140" s="8">
        <v>1</v>
      </c>
      <c r="W140" s="8">
        <v>1</v>
      </c>
      <c r="X140" s="8">
        <v>0</v>
      </c>
      <c r="Y140" s="8">
        <v>0</v>
      </c>
      <c r="Z140" s="8">
        <v>0</v>
      </c>
      <c r="AA140" s="8">
        <v>0</v>
      </c>
      <c r="AB140" s="8">
        <v>0</v>
      </c>
      <c r="AC140" s="8">
        <v>0</v>
      </c>
      <c r="AD140" s="8">
        <v>0</v>
      </c>
    </row>
    <row r="141" spans="1:30" ht="50" hidden="1" x14ac:dyDescent="0.25">
      <c r="A141" s="6">
        <v>1146</v>
      </c>
      <c r="B141" s="7" t="s">
        <v>231</v>
      </c>
      <c r="C141" s="7" t="s">
        <v>229</v>
      </c>
      <c r="D141" s="8">
        <v>9.6250000000000002E-2</v>
      </c>
      <c r="E141" s="7" t="s">
        <v>232</v>
      </c>
      <c r="F141" s="7" t="str">
        <f t="shared" si="2"/>
        <v>Wk1</v>
      </c>
      <c r="G141" s="8">
        <v>0</v>
      </c>
      <c r="H141" s="8">
        <v>0</v>
      </c>
      <c r="I141" s="8">
        <v>0</v>
      </c>
      <c r="J141" s="8">
        <v>0</v>
      </c>
      <c r="K141" s="8">
        <v>0</v>
      </c>
      <c r="L141" s="8">
        <v>0</v>
      </c>
      <c r="M141" s="8">
        <v>0</v>
      </c>
      <c r="N141" s="8">
        <v>0</v>
      </c>
      <c r="O141" s="8">
        <v>0</v>
      </c>
      <c r="P141" s="8">
        <v>1</v>
      </c>
      <c r="Q141" s="8">
        <v>1</v>
      </c>
      <c r="R141" s="8">
        <v>1</v>
      </c>
      <c r="S141" s="8">
        <v>1</v>
      </c>
      <c r="T141" s="8">
        <v>1</v>
      </c>
      <c r="U141" s="8">
        <v>1</v>
      </c>
      <c r="V141" s="8">
        <v>1</v>
      </c>
      <c r="W141" s="8">
        <v>1</v>
      </c>
      <c r="X141" s="8">
        <v>0</v>
      </c>
      <c r="Y141" s="8">
        <v>0</v>
      </c>
      <c r="Z141" s="8">
        <v>0</v>
      </c>
      <c r="AA141" s="8">
        <v>0</v>
      </c>
      <c r="AB141" s="8">
        <v>0</v>
      </c>
      <c r="AC141" s="8">
        <v>0</v>
      </c>
      <c r="AD141" s="8">
        <v>0</v>
      </c>
    </row>
    <row r="142" spans="1:30" ht="37.5" hidden="1" x14ac:dyDescent="0.25">
      <c r="A142" s="6">
        <v>1147</v>
      </c>
      <c r="B142" s="7" t="s">
        <v>38</v>
      </c>
      <c r="C142" s="7" t="s">
        <v>233</v>
      </c>
      <c r="D142" s="8">
        <v>0.12375</v>
      </c>
      <c r="E142" s="7" t="s">
        <v>234</v>
      </c>
      <c r="F142" s="7" t="str">
        <f t="shared" si="2"/>
        <v>WK1</v>
      </c>
      <c r="G142" s="8">
        <v>0</v>
      </c>
      <c r="H142" s="8">
        <v>0</v>
      </c>
      <c r="I142" s="8">
        <v>0</v>
      </c>
      <c r="J142" s="8">
        <v>0</v>
      </c>
      <c r="K142" s="8">
        <v>0</v>
      </c>
      <c r="L142" s="8">
        <v>0</v>
      </c>
      <c r="M142" s="8">
        <v>0</v>
      </c>
      <c r="N142" s="8">
        <v>0</v>
      </c>
      <c r="O142" s="8">
        <v>0</v>
      </c>
      <c r="P142" s="8">
        <v>1</v>
      </c>
      <c r="Q142" s="8">
        <v>1</v>
      </c>
      <c r="R142" s="8">
        <v>1</v>
      </c>
      <c r="S142" s="8">
        <v>1</v>
      </c>
      <c r="T142" s="8">
        <v>1</v>
      </c>
      <c r="U142" s="8">
        <v>1</v>
      </c>
      <c r="V142" s="8">
        <v>1</v>
      </c>
      <c r="W142" s="8">
        <v>1</v>
      </c>
      <c r="X142" s="8">
        <v>0</v>
      </c>
      <c r="Y142" s="8">
        <v>0</v>
      </c>
      <c r="Z142" s="8">
        <v>0</v>
      </c>
      <c r="AA142" s="8">
        <v>0</v>
      </c>
      <c r="AB142" s="8">
        <v>0</v>
      </c>
      <c r="AC142" s="8">
        <v>0</v>
      </c>
      <c r="AD142" s="8">
        <v>0</v>
      </c>
    </row>
    <row r="143" spans="1:30" ht="50" hidden="1" x14ac:dyDescent="0.25">
      <c r="A143" s="6">
        <v>1148</v>
      </c>
      <c r="B143" s="7" t="s">
        <v>84</v>
      </c>
      <c r="C143" s="7" t="s">
        <v>233</v>
      </c>
      <c r="D143" s="8">
        <v>0.12375</v>
      </c>
      <c r="E143" s="7" t="s">
        <v>235</v>
      </c>
      <c r="F143" s="7" t="str">
        <f t="shared" si="2"/>
        <v>WK1</v>
      </c>
      <c r="G143" s="8">
        <v>0</v>
      </c>
      <c r="H143" s="8">
        <v>0</v>
      </c>
      <c r="I143" s="8">
        <v>0</v>
      </c>
      <c r="J143" s="8">
        <v>0</v>
      </c>
      <c r="K143" s="8">
        <v>0</v>
      </c>
      <c r="L143" s="8">
        <v>0</v>
      </c>
      <c r="M143" s="8">
        <v>0</v>
      </c>
      <c r="N143" s="8">
        <v>0</v>
      </c>
      <c r="O143" s="8">
        <v>0</v>
      </c>
      <c r="P143" s="8">
        <v>1</v>
      </c>
      <c r="Q143" s="8">
        <v>1</v>
      </c>
      <c r="R143" s="8">
        <v>1</v>
      </c>
      <c r="S143" s="8">
        <v>1</v>
      </c>
      <c r="T143" s="8">
        <v>1</v>
      </c>
      <c r="U143" s="8">
        <v>1</v>
      </c>
      <c r="V143" s="8">
        <v>1</v>
      </c>
      <c r="W143" s="8">
        <v>1</v>
      </c>
      <c r="X143" s="8">
        <v>0</v>
      </c>
      <c r="Y143" s="8">
        <v>0</v>
      </c>
      <c r="Z143" s="8">
        <v>0</v>
      </c>
      <c r="AA143" s="8">
        <v>0</v>
      </c>
      <c r="AB143" s="8">
        <v>0</v>
      </c>
      <c r="AC143" s="8">
        <v>0</v>
      </c>
      <c r="AD143" s="8">
        <v>0</v>
      </c>
    </row>
    <row r="144" spans="1:30" ht="37.5" hidden="1" x14ac:dyDescent="0.25">
      <c r="A144" s="6">
        <v>1149</v>
      </c>
      <c r="B144" s="7" t="s">
        <v>43</v>
      </c>
      <c r="C144" s="7" t="s">
        <v>233</v>
      </c>
      <c r="D144" s="8">
        <v>0.12375</v>
      </c>
      <c r="E144" s="7" t="s">
        <v>236</v>
      </c>
      <c r="F144" s="7" t="str">
        <f t="shared" si="2"/>
        <v>WK1</v>
      </c>
      <c r="G144" s="8">
        <v>0</v>
      </c>
      <c r="H144" s="8">
        <v>0</v>
      </c>
      <c r="I144" s="8">
        <v>0</v>
      </c>
      <c r="J144" s="8">
        <v>0</v>
      </c>
      <c r="K144" s="8">
        <v>0</v>
      </c>
      <c r="L144" s="8">
        <v>0</v>
      </c>
      <c r="M144" s="8">
        <v>0</v>
      </c>
      <c r="N144" s="8">
        <v>0</v>
      </c>
      <c r="O144" s="8">
        <v>0</v>
      </c>
      <c r="P144" s="8">
        <v>1</v>
      </c>
      <c r="Q144" s="8">
        <v>1</v>
      </c>
      <c r="R144" s="8">
        <v>1</v>
      </c>
      <c r="S144" s="8">
        <v>1</v>
      </c>
      <c r="T144" s="8">
        <v>1</v>
      </c>
      <c r="U144" s="8">
        <v>1</v>
      </c>
      <c r="V144" s="8">
        <v>1</v>
      </c>
      <c r="W144" s="8">
        <v>1</v>
      </c>
      <c r="X144" s="8">
        <v>0</v>
      </c>
      <c r="Y144" s="8">
        <v>0</v>
      </c>
      <c r="Z144" s="8">
        <v>0</v>
      </c>
      <c r="AA144" s="8">
        <v>0</v>
      </c>
      <c r="AB144" s="8">
        <v>0</v>
      </c>
      <c r="AC144" s="8">
        <v>0</v>
      </c>
      <c r="AD144" s="8">
        <v>0</v>
      </c>
    </row>
    <row r="145" spans="1:30" ht="50" hidden="1" x14ac:dyDescent="0.25">
      <c r="A145" s="6">
        <v>1150</v>
      </c>
      <c r="B145" s="7" t="s">
        <v>45</v>
      </c>
      <c r="C145" s="7" t="s">
        <v>233</v>
      </c>
      <c r="D145" s="8">
        <v>9.4722222222222208E-2</v>
      </c>
      <c r="E145" s="7" t="s">
        <v>237</v>
      </c>
      <c r="F145" s="7" t="str">
        <f t="shared" si="2"/>
        <v>WK1</v>
      </c>
      <c r="G145" s="8">
        <v>0</v>
      </c>
      <c r="H145" s="8">
        <v>0</v>
      </c>
      <c r="I145" s="8">
        <v>0</v>
      </c>
      <c r="J145" s="8">
        <v>0</v>
      </c>
      <c r="K145" s="8">
        <v>0</v>
      </c>
      <c r="L145" s="8">
        <v>0</v>
      </c>
      <c r="M145" s="8">
        <v>0</v>
      </c>
      <c r="N145" s="8">
        <v>0.25</v>
      </c>
      <c r="O145" s="8">
        <v>0.5</v>
      </c>
      <c r="P145" s="8">
        <v>1</v>
      </c>
      <c r="Q145" s="8">
        <v>1</v>
      </c>
      <c r="R145" s="8">
        <v>1</v>
      </c>
      <c r="S145" s="8">
        <v>0.75</v>
      </c>
      <c r="T145" s="8">
        <v>0.75</v>
      </c>
      <c r="U145" s="8">
        <v>1</v>
      </c>
      <c r="V145" s="8">
        <v>1</v>
      </c>
      <c r="W145" s="8">
        <v>1</v>
      </c>
      <c r="X145" s="8">
        <v>0.5</v>
      </c>
      <c r="Y145" s="8">
        <v>0.25</v>
      </c>
      <c r="Z145" s="8">
        <v>0</v>
      </c>
      <c r="AA145" s="8">
        <v>0</v>
      </c>
      <c r="AB145" s="8">
        <v>0</v>
      </c>
      <c r="AC145" s="8">
        <v>0</v>
      </c>
      <c r="AD145" s="8">
        <v>0</v>
      </c>
    </row>
    <row r="146" spans="1:30" ht="50" hidden="1" x14ac:dyDescent="0.25">
      <c r="A146" s="6">
        <v>1151</v>
      </c>
      <c r="B146" s="7" t="s">
        <v>55</v>
      </c>
      <c r="C146" s="7" t="s">
        <v>233</v>
      </c>
      <c r="D146" s="8">
        <v>0.17599999992666671</v>
      </c>
      <c r="E146" s="7" t="s">
        <v>238</v>
      </c>
      <c r="F146" s="7" t="str">
        <f t="shared" si="2"/>
        <v>WK1</v>
      </c>
      <c r="G146" s="8">
        <v>0</v>
      </c>
      <c r="H146" s="8">
        <v>0</v>
      </c>
      <c r="I146" s="8">
        <v>0</v>
      </c>
      <c r="J146" s="8">
        <v>0</v>
      </c>
      <c r="K146" s="8">
        <v>0</v>
      </c>
      <c r="L146" s="8">
        <v>0</v>
      </c>
      <c r="M146" s="8">
        <v>0</v>
      </c>
      <c r="N146" s="8">
        <v>0</v>
      </c>
      <c r="O146" s="8">
        <v>0</v>
      </c>
      <c r="P146" s="8">
        <v>0</v>
      </c>
      <c r="Q146" s="8">
        <v>0</v>
      </c>
      <c r="R146" s="8">
        <v>0.25</v>
      </c>
      <c r="S146" s="8">
        <v>1</v>
      </c>
      <c r="T146" s="8">
        <v>1</v>
      </c>
      <c r="U146" s="8">
        <v>0.75</v>
      </c>
      <c r="V146" s="8">
        <v>0</v>
      </c>
      <c r="W146" s="8">
        <v>0</v>
      </c>
      <c r="X146" s="8">
        <v>0</v>
      </c>
      <c r="Y146" s="8">
        <v>0</v>
      </c>
      <c r="Z146" s="8">
        <v>0</v>
      </c>
      <c r="AA146" s="8">
        <v>0</v>
      </c>
      <c r="AB146" s="8">
        <v>0</v>
      </c>
      <c r="AC146" s="8">
        <v>0</v>
      </c>
      <c r="AD146" s="8">
        <v>0</v>
      </c>
    </row>
    <row r="147" spans="1:30" ht="50" hidden="1" x14ac:dyDescent="0.25">
      <c r="A147" s="6">
        <v>1152</v>
      </c>
      <c r="B147" s="7" t="s">
        <v>239</v>
      </c>
      <c r="C147" s="7" t="s">
        <v>233</v>
      </c>
      <c r="D147" s="8">
        <v>0.15</v>
      </c>
      <c r="E147" s="7" t="s">
        <v>240</v>
      </c>
      <c r="F147" s="7" t="str">
        <f t="shared" si="2"/>
        <v>WK1</v>
      </c>
      <c r="G147" s="8">
        <v>0</v>
      </c>
      <c r="H147" s="8">
        <v>0</v>
      </c>
      <c r="I147" s="8">
        <v>0</v>
      </c>
      <c r="J147" s="8">
        <v>0</v>
      </c>
      <c r="K147" s="8">
        <v>0</v>
      </c>
      <c r="L147" s="8">
        <v>0</v>
      </c>
      <c r="M147" s="8">
        <v>0</v>
      </c>
      <c r="N147" s="8">
        <v>0</v>
      </c>
      <c r="O147" s="8">
        <v>0</v>
      </c>
      <c r="P147" s="8">
        <v>1</v>
      </c>
      <c r="Q147" s="8">
        <v>1</v>
      </c>
      <c r="R147" s="8">
        <v>1</v>
      </c>
      <c r="S147" s="8">
        <v>1</v>
      </c>
      <c r="T147" s="8">
        <v>1</v>
      </c>
      <c r="U147" s="8">
        <v>1</v>
      </c>
      <c r="V147" s="8">
        <v>1</v>
      </c>
      <c r="W147" s="8">
        <v>1</v>
      </c>
      <c r="X147" s="8">
        <v>0</v>
      </c>
      <c r="Y147" s="8">
        <v>0</v>
      </c>
      <c r="Z147" s="8">
        <v>0</v>
      </c>
      <c r="AA147" s="8">
        <v>0</v>
      </c>
      <c r="AB147" s="8">
        <v>0</v>
      </c>
      <c r="AC147" s="8">
        <v>0</v>
      </c>
      <c r="AD147" s="8">
        <v>0</v>
      </c>
    </row>
    <row r="148" spans="1:30" ht="37.5" hidden="1" x14ac:dyDescent="0.25">
      <c r="A148" s="6">
        <v>1153</v>
      </c>
      <c r="B148" s="7" t="s">
        <v>101</v>
      </c>
      <c r="C148" s="7" t="s">
        <v>233</v>
      </c>
      <c r="D148" s="8">
        <v>9.7777777777777741E-2</v>
      </c>
      <c r="E148" s="7" t="s">
        <v>241</v>
      </c>
      <c r="F148" s="7" t="str">
        <f t="shared" si="2"/>
        <v>WK1</v>
      </c>
      <c r="G148" s="8">
        <v>0</v>
      </c>
      <c r="H148" s="8">
        <v>0</v>
      </c>
      <c r="I148" s="8">
        <v>0</v>
      </c>
      <c r="J148" s="8">
        <v>0</v>
      </c>
      <c r="K148" s="8">
        <v>0</v>
      </c>
      <c r="L148" s="8">
        <v>0</v>
      </c>
      <c r="M148" s="8">
        <v>0</v>
      </c>
      <c r="N148" s="8">
        <v>0.25</v>
      </c>
      <c r="O148" s="8">
        <v>0.5</v>
      </c>
      <c r="P148" s="8">
        <v>1</v>
      </c>
      <c r="Q148" s="8">
        <v>1</v>
      </c>
      <c r="R148" s="8">
        <v>1</v>
      </c>
      <c r="S148" s="8">
        <v>0.75</v>
      </c>
      <c r="T148" s="8">
        <v>0.75</v>
      </c>
      <c r="U148" s="8">
        <v>1</v>
      </c>
      <c r="V148" s="8">
        <v>1</v>
      </c>
      <c r="W148" s="8">
        <v>1</v>
      </c>
      <c r="X148" s="8">
        <v>0.5</v>
      </c>
      <c r="Y148" s="8">
        <v>0.25</v>
      </c>
      <c r="Z148" s="8">
        <v>0</v>
      </c>
      <c r="AA148" s="8">
        <v>0</v>
      </c>
      <c r="AB148" s="8">
        <v>0</v>
      </c>
      <c r="AC148" s="8">
        <v>0</v>
      </c>
      <c r="AD148" s="8">
        <v>0</v>
      </c>
    </row>
    <row r="149" spans="1:30" ht="50" x14ac:dyDescent="0.25">
      <c r="A149" s="6">
        <v>1154</v>
      </c>
      <c r="B149" s="7" t="s">
        <v>57</v>
      </c>
      <c r="C149" s="7" t="s">
        <v>233</v>
      </c>
      <c r="D149" s="8">
        <v>0.31999999986666666</v>
      </c>
      <c r="E149" s="7" t="s">
        <v>242</v>
      </c>
      <c r="F149" s="7" t="str">
        <f t="shared" si="2"/>
        <v>WK1</v>
      </c>
      <c r="G149" s="8">
        <v>0</v>
      </c>
      <c r="H149" s="8">
        <v>0</v>
      </c>
      <c r="I149" s="8">
        <v>0</v>
      </c>
      <c r="J149" s="8">
        <v>0</v>
      </c>
      <c r="K149" s="8">
        <v>0</v>
      </c>
      <c r="L149" s="8">
        <v>0</v>
      </c>
      <c r="M149" s="8">
        <v>0</v>
      </c>
      <c r="N149" s="8">
        <v>0</v>
      </c>
      <c r="O149" s="8">
        <v>0</v>
      </c>
      <c r="P149" s="8">
        <v>0</v>
      </c>
      <c r="Q149" s="8">
        <v>0</v>
      </c>
      <c r="R149" s="8">
        <v>0.25</v>
      </c>
      <c r="S149" s="8">
        <v>1</v>
      </c>
      <c r="T149" s="8">
        <v>1</v>
      </c>
      <c r="U149" s="8">
        <v>0.75</v>
      </c>
      <c r="V149" s="8">
        <v>0</v>
      </c>
      <c r="W149" s="8">
        <v>0</v>
      </c>
      <c r="X149" s="8">
        <v>0</v>
      </c>
      <c r="Y149" s="8">
        <v>0</v>
      </c>
      <c r="Z149" s="8">
        <v>0</v>
      </c>
      <c r="AA149" s="8">
        <v>0</v>
      </c>
      <c r="AB149" s="8">
        <v>0</v>
      </c>
      <c r="AC149" s="8">
        <v>0</v>
      </c>
      <c r="AD149" s="8">
        <v>0</v>
      </c>
    </row>
    <row r="150" spans="1:30" ht="37.5" hidden="1" x14ac:dyDescent="0.25">
      <c r="A150" s="6">
        <v>1155</v>
      </c>
      <c r="B150" s="7" t="s">
        <v>47</v>
      </c>
      <c r="C150" s="7" t="s">
        <v>233</v>
      </c>
      <c r="D150" s="8">
        <v>0.11</v>
      </c>
      <c r="E150" s="7" t="s">
        <v>243</v>
      </c>
      <c r="F150" s="7" t="str">
        <f t="shared" si="2"/>
        <v>WK1</v>
      </c>
      <c r="G150" s="8">
        <v>0</v>
      </c>
      <c r="H150" s="8">
        <v>0</v>
      </c>
      <c r="I150" s="8">
        <v>0</v>
      </c>
      <c r="J150" s="8">
        <v>0</v>
      </c>
      <c r="K150" s="8">
        <v>0</v>
      </c>
      <c r="L150" s="8">
        <v>0</v>
      </c>
      <c r="M150" s="8">
        <v>0</v>
      </c>
      <c r="N150" s="8">
        <v>0</v>
      </c>
      <c r="O150" s="8">
        <v>0</v>
      </c>
      <c r="P150" s="8">
        <v>0</v>
      </c>
      <c r="Q150" s="8">
        <v>0</v>
      </c>
      <c r="R150" s="8">
        <v>0</v>
      </c>
      <c r="S150" s="8">
        <v>0</v>
      </c>
      <c r="T150" s="8">
        <v>0</v>
      </c>
      <c r="U150" s="8">
        <v>0</v>
      </c>
      <c r="V150" s="8">
        <v>0</v>
      </c>
      <c r="W150" s="8">
        <v>0</v>
      </c>
      <c r="X150" s="8">
        <v>0</v>
      </c>
      <c r="Y150" s="8">
        <v>0</v>
      </c>
      <c r="Z150" s="8">
        <v>0</v>
      </c>
      <c r="AA150" s="8">
        <v>0</v>
      </c>
      <c r="AB150" s="8">
        <v>0</v>
      </c>
      <c r="AC150" s="8">
        <v>0</v>
      </c>
      <c r="AD150" s="8">
        <v>0</v>
      </c>
    </row>
    <row r="151" spans="1:30" ht="50" hidden="1" x14ac:dyDescent="0.25">
      <c r="A151" s="6">
        <v>1156</v>
      </c>
      <c r="B151" s="7" t="s">
        <v>59</v>
      </c>
      <c r="C151" s="7" t="s">
        <v>233</v>
      </c>
      <c r="D151" s="8">
        <v>6.222222222222222E-2</v>
      </c>
      <c r="E151" s="7" t="s">
        <v>244</v>
      </c>
      <c r="F151" s="7" t="str">
        <f t="shared" si="2"/>
        <v>WK1</v>
      </c>
      <c r="G151" s="8">
        <v>0</v>
      </c>
      <c r="H151" s="8">
        <v>0</v>
      </c>
      <c r="I151" s="8">
        <v>0</v>
      </c>
      <c r="J151" s="8">
        <v>0</v>
      </c>
      <c r="K151" s="8">
        <v>0</v>
      </c>
      <c r="L151" s="8">
        <v>0</v>
      </c>
      <c r="M151" s="8">
        <v>0</v>
      </c>
      <c r="N151" s="8">
        <v>0.25</v>
      </c>
      <c r="O151" s="8">
        <v>0.5</v>
      </c>
      <c r="P151" s="8">
        <v>1</v>
      </c>
      <c r="Q151" s="8">
        <v>1</v>
      </c>
      <c r="R151" s="8">
        <v>1</v>
      </c>
      <c r="S151" s="8">
        <v>0.75</v>
      </c>
      <c r="T151" s="8">
        <v>0.75</v>
      </c>
      <c r="U151" s="8">
        <v>1</v>
      </c>
      <c r="V151" s="8">
        <v>1</v>
      </c>
      <c r="W151" s="8">
        <v>1</v>
      </c>
      <c r="X151" s="8">
        <v>0.5</v>
      </c>
      <c r="Y151" s="8">
        <v>0.25</v>
      </c>
      <c r="Z151" s="8">
        <v>0</v>
      </c>
      <c r="AA151" s="8">
        <v>0</v>
      </c>
      <c r="AB151" s="8">
        <v>0</v>
      </c>
      <c r="AC151" s="8">
        <v>0</v>
      </c>
      <c r="AD151" s="8">
        <v>0</v>
      </c>
    </row>
    <row r="152" spans="1:30" ht="50" hidden="1" x14ac:dyDescent="0.25">
      <c r="A152" s="6">
        <v>1157</v>
      </c>
      <c r="B152" s="7" t="s">
        <v>245</v>
      </c>
      <c r="C152" s="7" t="s">
        <v>233</v>
      </c>
      <c r="D152" s="8">
        <v>0.14970231532524805</v>
      </c>
      <c r="E152" s="7" t="s">
        <v>246</v>
      </c>
      <c r="F152" s="7" t="str">
        <f t="shared" si="2"/>
        <v>Wk1</v>
      </c>
      <c r="G152" s="8">
        <v>0</v>
      </c>
      <c r="H152" s="8">
        <v>0</v>
      </c>
      <c r="I152" s="8">
        <v>0</v>
      </c>
      <c r="J152" s="8">
        <v>0</v>
      </c>
      <c r="K152" s="8">
        <v>0</v>
      </c>
      <c r="L152" s="8">
        <v>0</v>
      </c>
      <c r="M152" s="8">
        <v>0</v>
      </c>
      <c r="N152" s="8">
        <v>0.25</v>
      </c>
      <c r="O152" s="8">
        <v>0.5</v>
      </c>
      <c r="P152" s="8">
        <v>1</v>
      </c>
      <c r="Q152" s="8">
        <v>1</v>
      </c>
      <c r="R152" s="8">
        <v>1</v>
      </c>
      <c r="S152" s="8">
        <v>0.75</v>
      </c>
      <c r="T152" s="8">
        <v>0.75</v>
      </c>
      <c r="U152" s="8">
        <v>1</v>
      </c>
      <c r="V152" s="8">
        <v>1</v>
      </c>
      <c r="W152" s="8">
        <v>1</v>
      </c>
      <c r="X152" s="8">
        <v>0.5</v>
      </c>
      <c r="Y152" s="8">
        <v>0.25</v>
      </c>
      <c r="Z152" s="8">
        <v>0</v>
      </c>
      <c r="AA152" s="8">
        <v>0</v>
      </c>
      <c r="AB152" s="8">
        <v>0</v>
      </c>
      <c r="AC152" s="8">
        <v>0</v>
      </c>
      <c r="AD152" s="8">
        <v>0</v>
      </c>
    </row>
    <row r="153" spans="1:30" ht="37.5" hidden="1" x14ac:dyDescent="0.25">
      <c r="A153" s="6">
        <v>1158</v>
      </c>
      <c r="B153" s="7" t="s">
        <v>49</v>
      </c>
      <c r="C153" s="7" t="s">
        <v>233</v>
      </c>
      <c r="D153" s="8">
        <v>9.8666666666666666E-2</v>
      </c>
      <c r="E153" s="7" t="s">
        <v>247</v>
      </c>
      <c r="F153" s="7" t="str">
        <f t="shared" si="2"/>
        <v>WK1</v>
      </c>
      <c r="G153" s="8">
        <v>0</v>
      </c>
      <c r="H153" s="8">
        <v>0</v>
      </c>
      <c r="I153" s="8">
        <v>0</v>
      </c>
      <c r="J153" s="8">
        <v>0</v>
      </c>
      <c r="K153" s="8">
        <v>0</v>
      </c>
      <c r="L153" s="8">
        <v>0</v>
      </c>
      <c r="M153" s="8">
        <v>0</v>
      </c>
      <c r="N153" s="8">
        <v>0.25</v>
      </c>
      <c r="O153" s="8">
        <v>0.5</v>
      </c>
      <c r="P153" s="8">
        <v>1</v>
      </c>
      <c r="Q153" s="8">
        <v>1</v>
      </c>
      <c r="R153" s="8">
        <v>1</v>
      </c>
      <c r="S153" s="8">
        <v>0.75</v>
      </c>
      <c r="T153" s="8">
        <v>0.75</v>
      </c>
      <c r="U153" s="8">
        <v>1</v>
      </c>
      <c r="V153" s="8">
        <v>1</v>
      </c>
      <c r="W153" s="8">
        <v>1</v>
      </c>
      <c r="X153" s="8">
        <v>0.5</v>
      </c>
      <c r="Y153" s="8">
        <v>0.25</v>
      </c>
      <c r="Z153" s="8">
        <v>0</v>
      </c>
      <c r="AA153" s="8">
        <v>0</v>
      </c>
      <c r="AB153" s="8">
        <v>0</v>
      </c>
      <c r="AC153" s="8">
        <v>0</v>
      </c>
      <c r="AD153" s="8">
        <v>0</v>
      </c>
    </row>
    <row r="154" spans="1:30" ht="37.5" hidden="1" x14ac:dyDescent="0.25">
      <c r="A154" s="6">
        <v>1159</v>
      </c>
      <c r="B154" s="7" t="s">
        <v>38</v>
      </c>
      <c r="C154" s="7" t="s">
        <v>248</v>
      </c>
      <c r="D154" s="8">
        <v>0.11</v>
      </c>
      <c r="E154" s="7" t="s">
        <v>249</v>
      </c>
      <c r="F154" s="7" t="str">
        <f t="shared" si="2"/>
        <v>WK1</v>
      </c>
      <c r="G154" s="8">
        <v>0</v>
      </c>
      <c r="H154" s="8">
        <v>0</v>
      </c>
      <c r="I154" s="8">
        <v>0</v>
      </c>
      <c r="J154" s="8">
        <v>0</v>
      </c>
      <c r="K154" s="8">
        <v>0</v>
      </c>
      <c r="L154" s="8">
        <v>0</v>
      </c>
      <c r="M154" s="8">
        <v>0</v>
      </c>
      <c r="N154" s="8">
        <v>0</v>
      </c>
      <c r="O154" s="8">
        <v>1</v>
      </c>
      <c r="P154" s="8">
        <v>1</v>
      </c>
      <c r="Q154" s="8">
        <v>1</v>
      </c>
      <c r="R154" s="8">
        <v>1</v>
      </c>
      <c r="S154" s="8">
        <v>1</v>
      </c>
      <c r="T154" s="8">
        <v>1</v>
      </c>
      <c r="U154" s="8">
        <v>1</v>
      </c>
      <c r="V154" s="8">
        <v>1</v>
      </c>
      <c r="W154" s="8">
        <v>1</v>
      </c>
      <c r="X154" s="8">
        <v>1</v>
      </c>
      <c r="Y154" s="8">
        <v>0</v>
      </c>
      <c r="Z154" s="8">
        <v>0</v>
      </c>
      <c r="AA154" s="8">
        <v>0</v>
      </c>
      <c r="AB154" s="8">
        <v>0</v>
      </c>
      <c r="AC154" s="8">
        <v>0</v>
      </c>
      <c r="AD154" s="8">
        <v>0</v>
      </c>
    </row>
    <row r="155" spans="1:30" ht="37.5" hidden="1" x14ac:dyDescent="0.25">
      <c r="A155" s="6">
        <v>1160</v>
      </c>
      <c r="B155" s="7" t="s">
        <v>41</v>
      </c>
      <c r="C155" s="7" t="s">
        <v>248</v>
      </c>
      <c r="D155" s="8">
        <v>0.11</v>
      </c>
      <c r="E155" s="7" t="s">
        <v>250</v>
      </c>
      <c r="F155" s="7" t="str">
        <f t="shared" si="2"/>
        <v>WK1</v>
      </c>
      <c r="G155" s="8">
        <v>0</v>
      </c>
      <c r="H155" s="8">
        <v>0</v>
      </c>
      <c r="I155" s="8">
        <v>0</v>
      </c>
      <c r="J155" s="8">
        <v>0</v>
      </c>
      <c r="K155" s="8">
        <v>0</v>
      </c>
      <c r="L155" s="8">
        <v>0</v>
      </c>
      <c r="M155" s="8">
        <v>0</v>
      </c>
      <c r="N155" s="8">
        <v>0</v>
      </c>
      <c r="O155" s="8">
        <v>1</v>
      </c>
      <c r="P155" s="8">
        <v>1</v>
      </c>
      <c r="Q155" s="8">
        <v>1</v>
      </c>
      <c r="R155" s="8">
        <v>1</v>
      </c>
      <c r="S155" s="8">
        <v>1</v>
      </c>
      <c r="T155" s="8">
        <v>1</v>
      </c>
      <c r="U155" s="8">
        <v>1</v>
      </c>
      <c r="V155" s="8">
        <v>1</v>
      </c>
      <c r="W155" s="8">
        <v>1</v>
      </c>
      <c r="X155" s="8">
        <v>1</v>
      </c>
      <c r="Y155" s="8">
        <v>0</v>
      </c>
      <c r="Z155" s="8">
        <v>0</v>
      </c>
      <c r="AA155" s="8">
        <v>0</v>
      </c>
      <c r="AB155" s="8">
        <v>0</v>
      </c>
      <c r="AC155" s="8">
        <v>0</v>
      </c>
      <c r="AD155" s="8">
        <v>0</v>
      </c>
    </row>
    <row r="156" spans="1:30" ht="37.5" hidden="1" x14ac:dyDescent="0.25">
      <c r="A156" s="6">
        <v>1161</v>
      </c>
      <c r="B156" s="7" t="s">
        <v>43</v>
      </c>
      <c r="C156" s="7" t="s">
        <v>248</v>
      </c>
      <c r="D156" s="8">
        <v>0.11</v>
      </c>
      <c r="E156" s="7" t="s">
        <v>251</v>
      </c>
      <c r="F156" s="7" t="str">
        <f t="shared" si="2"/>
        <v>WK1</v>
      </c>
      <c r="G156" s="8">
        <v>0</v>
      </c>
      <c r="H156" s="8">
        <v>0</v>
      </c>
      <c r="I156" s="8">
        <v>0</v>
      </c>
      <c r="J156" s="8">
        <v>0</v>
      </c>
      <c r="K156" s="8">
        <v>0</v>
      </c>
      <c r="L156" s="8">
        <v>0</v>
      </c>
      <c r="M156" s="8">
        <v>0</v>
      </c>
      <c r="N156" s="8">
        <v>0</v>
      </c>
      <c r="O156" s="8">
        <v>1</v>
      </c>
      <c r="P156" s="8">
        <v>1</v>
      </c>
      <c r="Q156" s="8">
        <v>1</v>
      </c>
      <c r="R156" s="8">
        <v>1</v>
      </c>
      <c r="S156" s="8">
        <v>1</v>
      </c>
      <c r="T156" s="8">
        <v>1</v>
      </c>
      <c r="U156" s="8">
        <v>1</v>
      </c>
      <c r="V156" s="8">
        <v>1</v>
      </c>
      <c r="W156" s="8">
        <v>1</v>
      </c>
      <c r="X156" s="8">
        <v>1</v>
      </c>
      <c r="Y156" s="8">
        <v>0</v>
      </c>
      <c r="Z156" s="8">
        <v>0</v>
      </c>
      <c r="AA156" s="8">
        <v>0</v>
      </c>
      <c r="AB156" s="8">
        <v>0</v>
      </c>
      <c r="AC156" s="8">
        <v>0</v>
      </c>
      <c r="AD156" s="8">
        <v>0</v>
      </c>
    </row>
    <row r="157" spans="1:30" ht="37.5" hidden="1" x14ac:dyDescent="0.25">
      <c r="A157" s="6">
        <v>1162</v>
      </c>
      <c r="B157" s="7" t="s">
        <v>45</v>
      </c>
      <c r="C157" s="7" t="s">
        <v>248</v>
      </c>
      <c r="D157" s="8">
        <v>0.10845070422535211</v>
      </c>
      <c r="E157" s="7" t="s">
        <v>252</v>
      </c>
      <c r="F157" s="7" t="str">
        <f t="shared" si="2"/>
        <v>WK1</v>
      </c>
      <c r="G157" s="8">
        <v>0</v>
      </c>
      <c r="H157" s="8">
        <v>0</v>
      </c>
      <c r="I157" s="8">
        <v>0</v>
      </c>
      <c r="J157" s="8">
        <v>0</v>
      </c>
      <c r="K157" s="8">
        <v>0</v>
      </c>
      <c r="L157" s="8">
        <v>0</v>
      </c>
      <c r="M157" s="8">
        <v>0</v>
      </c>
      <c r="N157" s="8">
        <v>0.1</v>
      </c>
      <c r="O157" s="8">
        <v>0.25</v>
      </c>
      <c r="P157" s="8">
        <v>0.75</v>
      </c>
      <c r="Q157" s="8">
        <v>1</v>
      </c>
      <c r="R157" s="8">
        <v>1</v>
      </c>
      <c r="S157" s="8">
        <v>0.5</v>
      </c>
      <c r="T157" s="8">
        <v>0.5</v>
      </c>
      <c r="U157" s="8">
        <v>1</v>
      </c>
      <c r="V157" s="8">
        <v>1</v>
      </c>
      <c r="W157" s="8">
        <v>0.5</v>
      </c>
      <c r="X157" s="8">
        <v>0.5</v>
      </c>
      <c r="Y157" s="8">
        <v>0</v>
      </c>
      <c r="Z157" s="8">
        <v>0</v>
      </c>
      <c r="AA157" s="8">
        <v>0</v>
      </c>
      <c r="AB157" s="8">
        <v>0</v>
      </c>
      <c r="AC157" s="8">
        <v>0</v>
      </c>
      <c r="AD157" s="8">
        <v>0</v>
      </c>
    </row>
    <row r="158" spans="1:30" ht="37.5" hidden="1" x14ac:dyDescent="0.25">
      <c r="A158" s="6">
        <v>1163</v>
      </c>
      <c r="B158" s="7" t="s">
        <v>80</v>
      </c>
      <c r="C158" s="7" t="s">
        <v>248</v>
      </c>
      <c r="D158" s="8">
        <v>4.6875E-2</v>
      </c>
      <c r="E158" s="7" t="s">
        <v>253</v>
      </c>
      <c r="F158" s="7" t="str">
        <f t="shared" si="2"/>
        <v>WK1</v>
      </c>
      <c r="G158" s="8">
        <v>0</v>
      </c>
      <c r="H158" s="8">
        <v>0</v>
      </c>
      <c r="I158" s="8">
        <v>0</v>
      </c>
      <c r="J158" s="8">
        <v>0</v>
      </c>
      <c r="K158" s="8">
        <v>0</v>
      </c>
      <c r="L158" s="8">
        <v>0</v>
      </c>
      <c r="M158" s="8">
        <v>0</v>
      </c>
      <c r="N158" s="8">
        <v>0</v>
      </c>
      <c r="O158" s="8">
        <v>0</v>
      </c>
      <c r="P158" s="8">
        <v>0.75</v>
      </c>
      <c r="Q158" s="8">
        <v>1</v>
      </c>
      <c r="R158" s="8">
        <v>1</v>
      </c>
      <c r="S158" s="8">
        <v>0.75</v>
      </c>
      <c r="T158" s="8">
        <v>0.75</v>
      </c>
      <c r="U158" s="8">
        <v>1</v>
      </c>
      <c r="V158" s="8">
        <v>1</v>
      </c>
      <c r="W158" s="8">
        <v>1</v>
      </c>
      <c r="X158" s="8">
        <v>0.75</v>
      </c>
      <c r="Y158" s="8">
        <v>0</v>
      </c>
      <c r="Z158" s="8">
        <v>0</v>
      </c>
      <c r="AA158" s="8">
        <v>0</v>
      </c>
      <c r="AB158" s="8">
        <v>0</v>
      </c>
      <c r="AC158" s="8">
        <v>0</v>
      </c>
      <c r="AD158" s="8">
        <v>0</v>
      </c>
    </row>
    <row r="159" spans="1:30" ht="37.5" hidden="1" x14ac:dyDescent="0.25">
      <c r="A159" s="6">
        <v>1164</v>
      </c>
      <c r="B159" s="7" t="s">
        <v>55</v>
      </c>
      <c r="C159" s="7" t="s">
        <v>248</v>
      </c>
      <c r="D159" s="8">
        <v>0.14299999999999999</v>
      </c>
      <c r="E159" s="7" t="s">
        <v>254</v>
      </c>
      <c r="F159" s="7" t="str">
        <f t="shared" si="2"/>
        <v>WK1</v>
      </c>
      <c r="G159" s="8">
        <v>0</v>
      </c>
      <c r="H159" s="8">
        <v>0</v>
      </c>
      <c r="I159" s="8">
        <v>0</v>
      </c>
      <c r="J159" s="8">
        <v>0</v>
      </c>
      <c r="K159" s="8">
        <v>0</v>
      </c>
      <c r="L159" s="8">
        <v>0</v>
      </c>
      <c r="M159" s="8">
        <v>0</v>
      </c>
      <c r="N159" s="8">
        <v>0</v>
      </c>
      <c r="O159" s="8">
        <v>0</v>
      </c>
      <c r="P159" s="8">
        <v>0</v>
      </c>
      <c r="Q159" s="8">
        <v>0</v>
      </c>
      <c r="R159" s="8">
        <v>0.25</v>
      </c>
      <c r="S159" s="8">
        <v>1</v>
      </c>
      <c r="T159" s="8">
        <v>1</v>
      </c>
      <c r="U159" s="8">
        <v>0.75</v>
      </c>
      <c r="V159" s="8">
        <v>0</v>
      </c>
      <c r="W159" s="8">
        <v>0</v>
      </c>
      <c r="X159" s="8">
        <v>0</v>
      </c>
      <c r="Y159" s="8">
        <v>0</v>
      </c>
      <c r="Z159" s="8">
        <v>0</v>
      </c>
      <c r="AA159" s="8">
        <v>0</v>
      </c>
      <c r="AB159" s="8">
        <v>0</v>
      </c>
      <c r="AC159" s="8">
        <v>0</v>
      </c>
      <c r="AD159" s="8">
        <v>0</v>
      </c>
    </row>
    <row r="160" spans="1:30" ht="37.5" x14ac:dyDescent="0.25">
      <c r="A160" s="6">
        <v>1165</v>
      </c>
      <c r="B160" s="7" t="s">
        <v>57</v>
      </c>
      <c r="C160" s="7" t="s">
        <v>248</v>
      </c>
      <c r="D160" s="8">
        <v>0.3</v>
      </c>
      <c r="E160" s="7" t="s">
        <v>255</v>
      </c>
      <c r="F160" s="7" t="str">
        <f t="shared" si="2"/>
        <v>WK1</v>
      </c>
      <c r="G160" s="8">
        <v>0</v>
      </c>
      <c r="H160" s="8">
        <v>0</v>
      </c>
      <c r="I160" s="8">
        <v>0</v>
      </c>
      <c r="J160" s="8">
        <v>0</v>
      </c>
      <c r="K160" s="8">
        <v>0</v>
      </c>
      <c r="L160" s="8">
        <v>0</v>
      </c>
      <c r="M160" s="8">
        <v>0</v>
      </c>
      <c r="N160" s="8">
        <v>0</v>
      </c>
      <c r="O160" s="8">
        <v>0</v>
      </c>
      <c r="P160" s="8">
        <v>0</v>
      </c>
      <c r="Q160" s="8">
        <v>0</v>
      </c>
      <c r="R160" s="8">
        <v>0.25</v>
      </c>
      <c r="S160" s="8">
        <v>1</v>
      </c>
      <c r="T160" s="8">
        <v>1</v>
      </c>
      <c r="U160" s="8">
        <v>0.75</v>
      </c>
      <c r="V160" s="8">
        <v>0</v>
      </c>
      <c r="W160" s="8">
        <v>0</v>
      </c>
      <c r="X160" s="8">
        <v>0</v>
      </c>
      <c r="Y160" s="8">
        <v>0</v>
      </c>
      <c r="Z160" s="8">
        <v>0</v>
      </c>
      <c r="AA160" s="8">
        <v>0</v>
      </c>
      <c r="AB160" s="8">
        <v>0</v>
      </c>
      <c r="AC160" s="8">
        <v>0</v>
      </c>
      <c r="AD160" s="8">
        <v>0</v>
      </c>
    </row>
    <row r="161" spans="1:30" ht="37.5" hidden="1" x14ac:dyDescent="0.25">
      <c r="A161" s="6">
        <v>1166</v>
      </c>
      <c r="B161" s="7" t="s">
        <v>47</v>
      </c>
      <c r="C161" s="7" t="s">
        <v>248</v>
      </c>
      <c r="D161" s="8">
        <v>0.11</v>
      </c>
      <c r="E161" s="7" t="s">
        <v>256</v>
      </c>
      <c r="F161" s="7" t="str">
        <f t="shared" si="2"/>
        <v>WK1</v>
      </c>
      <c r="G161" s="8">
        <v>0</v>
      </c>
      <c r="H161" s="8">
        <v>0</v>
      </c>
      <c r="I161" s="8">
        <v>0</v>
      </c>
      <c r="J161" s="8">
        <v>0</v>
      </c>
      <c r="K161" s="8">
        <v>0</v>
      </c>
      <c r="L161" s="8">
        <v>0</v>
      </c>
      <c r="M161" s="8">
        <v>0</v>
      </c>
      <c r="N161" s="8">
        <v>0</v>
      </c>
      <c r="O161" s="8">
        <v>0</v>
      </c>
      <c r="P161" s="8">
        <v>0</v>
      </c>
      <c r="Q161" s="8">
        <v>0</v>
      </c>
      <c r="R161" s="8">
        <v>0</v>
      </c>
      <c r="S161" s="8">
        <v>0</v>
      </c>
      <c r="T161" s="8">
        <v>0</v>
      </c>
      <c r="U161" s="8">
        <v>0</v>
      </c>
      <c r="V161" s="8">
        <v>0</v>
      </c>
      <c r="W161" s="8">
        <v>0</v>
      </c>
      <c r="X161" s="8">
        <v>0</v>
      </c>
      <c r="Y161" s="8">
        <v>0</v>
      </c>
      <c r="Z161" s="8">
        <v>0</v>
      </c>
      <c r="AA161" s="8">
        <v>0</v>
      </c>
      <c r="AB161" s="8">
        <v>0</v>
      </c>
      <c r="AC161" s="8">
        <v>0</v>
      </c>
      <c r="AD161" s="8">
        <v>0</v>
      </c>
    </row>
    <row r="162" spans="1:30" ht="37.5" hidden="1" x14ac:dyDescent="0.25">
      <c r="A162" s="6">
        <v>1167</v>
      </c>
      <c r="B162" s="7" t="s">
        <v>53</v>
      </c>
      <c r="C162" s="7" t="s">
        <v>248</v>
      </c>
      <c r="D162" s="8">
        <v>0.11375</v>
      </c>
      <c r="E162" s="7" t="s">
        <v>257</v>
      </c>
      <c r="F162" s="7" t="str">
        <f t="shared" si="2"/>
        <v>WK1</v>
      </c>
      <c r="G162" s="8">
        <v>0</v>
      </c>
      <c r="H162" s="8">
        <v>0</v>
      </c>
      <c r="I162" s="8">
        <v>0</v>
      </c>
      <c r="J162" s="8">
        <v>0</v>
      </c>
      <c r="K162" s="8">
        <v>0</v>
      </c>
      <c r="L162" s="8">
        <v>0</v>
      </c>
      <c r="M162" s="8">
        <v>0</v>
      </c>
      <c r="N162" s="8">
        <v>0</v>
      </c>
      <c r="O162" s="8">
        <v>0</v>
      </c>
      <c r="P162" s="8">
        <v>0.75</v>
      </c>
      <c r="Q162" s="8">
        <v>1</v>
      </c>
      <c r="R162" s="8">
        <v>1</v>
      </c>
      <c r="S162" s="8">
        <v>0.75</v>
      </c>
      <c r="T162" s="8">
        <v>0.75</v>
      </c>
      <c r="U162" s="8">
        <v>1</v>
      </c>
      <c r="V162" s="8">
        <v>1</v>
      </c>
      <c r="W162" s="8">
        <v>1</v>
      </c>
      <c r="X162" s="8">
        <v>0.75</v>
      </c>
      <c r="Y162" s="8">
        <v>0</v>
      </c>
      <c r="Z162" s="8">
        <v>0</v>
      </c>
      <c r="AA162" s="8">
        <v>0</v>
      </c>
      <c r="AB162" s="8">
        <v>0</v>
      </c>
      <c r="AC162" s="8">
        <v>0</v>
      </c>
      <c r="AD162" s="8">
        <v>0</v>
      </c>
    </row>
    <row r="163" spans="1:30" ht="37.5" hidden="1" x14ac:dyDescent="0.25">
      <c r="A163" s="6">
        <v>1168</v>
      </c>
      <c r="B163" s="7" t="s">
        <v>59</v>
      </c>
      <c r="C163" s="7" t="s">
        <v>248</v>
      </c>
      <c r="D163" s="8">
        <v>6.4166666666666691E-2</v>
      </c>
      <c r="E163" s="7" t="s">
        <v>258</v>
      </c>
      <c r="F163" s="7" t="str">
        <f t="shared" si="2"/>
        <v>Wk1</v>
      </c>
      <c r="G163" s="8">
        <v>0</v>
      </c>
      <c r="H163" s="8">
        <v>0</v>
      </c>
      <c r="I163" s="8">
        <v>0</v>
      </c>
      <c r="J163" s="8">
        <v>0</v>
      </c>
      <c r="K163" s="8">
        <v>0</v>
      </c>
      <c r="L163" s="8">
        <v>0</v>
      </c>
      <c r="M163" s="8">
        <v>0</v>
      </c>
      <c r="N163" s="8">
        <v>0</v>
      </c>
      <c r="O163" s="8">
        <v>0</v>
      </c>
      <c r="P163" s="8">
        <v>1</v>
      </c>
      <c r="Q163" s="8">
        <v>1</v>
      </c>
      <c r="R163" s="8">
        <v>1</v>
      </c>
      <c r="S163" s="8">
        <v>1</v>
      </c>
      <c r="T163" s="8">
        <v>1</v>
      </c>
      <c r="U163" s="8">
        <v>1</v>
      </c>
      <c r="V163" s="8">
        <v>1</v>
      </c>
      <c r="W163" s="8">
        <v>1</v>
      </c>
      <c r="X163" s="8">
        <v>1</v>
      </c>
      <c r="Y163" s="8">
        <v>1</v>
      </c>
      <c r="Z163" s="8">
        <v>1</v>
      </c>
      <c r="AA163" s="8">
        <v>1</v>
      </c>
      <c r="AB163" s="8">
        <v>0</v>
      </c>
      <c r="AC163" s="8">
        <v>0</v>
      </c>
      <c r="AD163" s="8">
        <v>0</v>
      </c>
    </row>
    <row r="164" spans="1:30" ht="37.5" hidden="1" x14ac:dyDescent="0.25">
      <c r="A164" s="6">
        <v>1169</v>
      </c>
      <c r="B164" s="7" t="s">
        <v>239</v>
      </c>
      <c r="C164" s="7" t="s">
        <v>248</v>
      </c>
      <c r="D164" s="8">
        <v>0.16901408450704225</v>
      </c>
      <c r="E164" s="7" t="s">
        <v>259</v>
      </c>
      <c r="F164" s="7" t="str">
        <f t="shared" si="2"/>
        <v>WK1</v>
      </c>
      <c r="G164" s="8">
        <v>0</v>
      </c>
      <c r="H164" s="8">
        <v>0</v>
      </c>
      <c r="I164" s="8">
        <v>0</v>
      </c>
      <c r="J164" s="8">
        <v>0</v>
      </c>
      <c r="K164" s="8">
        <v>0</v>
      </c>
      <c r="L164" s="8">
        <v>0</v>
      </c>
      <c r="M164" s="8">
        <v>0</v>
      </c>
      <c r="N164" s="8">
        <v>0.1</v>
      </c>
      <c r="O164" s="8">
        <v>0.25</v>
      </c>
      <c r="P164" s="8">
        <v>0.75</v>
      </c>
      <c r="Q164" s="8">
        <v>1</v>
      </c>
      <c r="R164" s="8">
        <v>1</v>
      </c>
      <c r="S164" s="8">
        <v>0.5</v>
      </c>
      <c r="T164" s="8">
        <v>0.5</v>
      </c>
      <c r="U164" s="8">
        <v>1</v>
      </c>
      <c r="V164" s="8">
        <v>1</v>
      </c>
      <c r="W164" s="8">
        <v>0.5</v>
      </c>
      <c r="X164" s="8">
        <v>0.5</v>
      </c>
      <c r="Y164" s="8">
        <v>0</v>
      </c>
      <c r="Z164" s="8">
        <v>0</v>
      </c>
      <c r="AA164" s="8">
        <v>0</v>
      </c>
      <c r="AB164" s="8">
        <v>0</v>
      </c>
      <c r="AC164" s="8">
        <v>0</v>
      </c>
      <c r="AD164" s="8">
        <v>0</v>
      </c>
    </row>
    <row r="165" spans="1:30" ht="37.5" hidden="1" x14ac:dyDescent="0.25">
      <c r="A165" s="6">
        <v>1170</v>
      </c>
      <c r="B165" s="7" t="s">
        <v>185</v>
      </c>
      <c r="C165" s="7" t="s">
        <v>248</v>
      </c>
      <c r="D165" s="8">
        <v>0.10588028169014085</v>
      </c>
      <c r="E165" s="7" t="s">
        <v>260</v>
      </c>
      <c r="F165" s="7" t="str">
        <f t="shared" si="2"/>
        <v>WK1</v>
      </c>
      <c r="G165" s="8">
        <v>0</v>
      </c>
      <c r="H165" s="8">
        <v>0</v>
      </c>
      <c r="I165" s="8">
        <v>0</v>
      </c>
      <c r="J165" s="8">
        <v>0</v>
      </c>
      <c r="K165" s="8">
        <v>0</v>
      </c>
      <c r="L165" s="8">
        <v>0</v>
      </c>
      <c r="M165" s="8">
        <v>0</v>
      </c>
      <c r="N165" s="8">
        <v>0.1</v>
      </c>
      <c r="O165" s="8">
        <v>0.25</v>
      </c>
      <c r="P165" s="8">
        <v>0.75</v>
      </c>
      <c r="Q165" s="8">
        <v>1</v>
      </c>
      <c r="R165" s="8">
        <v>1</v>
      </c>
      <c r="S165" s="8">
        <v>0.5</v>
      </c>
      <c r="T165" s="8">
        <v>0.5</v>
      </c>
      <c r="U165" s="8">
        <v>1</v>
      </c>
      <c r="V165" s="8">
        <v>1</v>
      </c>
      <c r="W165" s="8">
        <v>0.5</v>
      </c>
      <c r="X165" s="8">
        <v>0.5</v>
      </c>
      <c r="Y165" s="8">
        <v>0</v>
      </c>
      <c r="Z165" s="8">
        <v>0</v>
      </c>
      <c r="AA165" s="8">
        <v>0</v>
      </c>
      <c r="AB165" s="8">
        <v>0</v>
      </c>
      <c r="AC165" s="8">
        <v>0</v>
      </c>
      <c r="AD165" s="8">
        <v>0</v>
      </c>
    </row>
    <row r="166" spans="1:30" ht="50" hidden="1" x14ac:dyDescent="0.25">
      <c r="A166" s="6">
        <v>1171</v>
      </c>
      <c r="B166" s="7" t="s">
        <v>38</v>
      </c>
      <c r="C166" s="7" t="s">
        <v>261</v>
      </c>
      <c r="D166" s="8">
        <v>0.12100000000000001</v>
      </c>
      <c r="E166" s="7" t="s">
        <v>262</v>
      </c>
      <c r="F166" s="7" t="str">
        <f t="shared" si="2"/>
        <v>WK1</v>
      </c>
      <c r="G166" s="8">
        <v>0</v>
      </c>
      <c r="H166" s="8">
        <v>0</v>
      </c>
      <c r="I166" s="8">
        <v>0</v>
      </c>
      <c r="J166" s="8">
        <v>0</v>
      </c>
      <c r="K166" s="8">
        <v>0</v>
      </c>
      <c r="L166" s="8">
        <v>0</v>
      </c>
      <c r="M166" s="8">
        <v>0</v>
      </c>
      <c r="N166" s="8">
        <v>0</v>
      </c>
      <c r="O166" s="8">
        <v>1</v>
      </c>
      <c r="P166" s="8">
        <v>1</v>
      </c>
      <c r="Q166" s="8">
        <v>1</v>
      </c>
      <c r="R166" s="8">
        <v>1</v>
      </c>
      <c r="S166" s="8">
        <v>1</v>
      </c>
      <c r="T166" s="8">
        <v>1</v>
      </c>
      <c r="U166" s="8">
        <v>1</v>
      </c>
      <c r="V166" s="8">
        <v>1</v>
      </c>
      <c r="W166" s="8">
        <v>1</v>
      </c>
      <c r="X166" s="8">
        <v>1</v>
      </c>
      <c r="Y166" s="8">
        <v>0</v>
      </c>
      <c r="Z166" s="8">
        <v>0</v>
      </c>
      <c r="AA166" s="8">
        <v>0</v>
      </c>
      <c r="AB166" s="8">
        <v>0</v>
      </c>
      <c r="AC166" s="8">
        <v>0</v>
      </c>
      <c r="AD166" s="8">
        <v>0</v>
      </c>
    </row>
    <row r="167" spans="1:30" ht="50" hidden="1" x14ac:dyDescent="0.25">
      <c r="A167" s="6">
        <v>1172</v>
      </c>
      <c r="B167" s="7" t="s">
        <v>41</v>
      </c>
      <c r="C167" s="7" t="s">
        <v>261</v>
      </c>
      <c r="D167" s="8">
        <v>0.12100000000000001</v>
      </c>
      <c r="E167" s="7" t="s">
        <v>263</v>
      </c>
      <c r="F167" s="7" t="str">
        <f t="shared" si="2"/>
        <v>WK1</v>
      </c>
      <c r="G167" s="8">
        <v>0</v>
      </c>
      <c r="H167" s="8">
        <v>0</v>
      </c>
      <c r="I167" s="8">
        <v>0</v>
      </c>
      <c r="J167" s="8">
        <v>0</v>
      </c>
      <c r="K167" s="8">
        <v>0</v>
      </c>
      <c r="L167" s="8">
        <v>0</v>
      </c>
      <c r="M167" s="8">
        <v>0</v>
      </c>
      <c r="N167" s="8">
        <v>0</v>
      </c>
      <c r="O167" s="8">
        <v>1</v>
      </c>
      <c r="P167" s="8">
        <v>1</v>
      </c>
      <c r="Q167" s="8">
        <v>1</v>
      </c>
      <c r="R167" s="8">
        <v>1</v>
      </c>
      <c r="S167" s="8">
        <v>1</v>
      </c>
      <c r="T167" s="8">
        <v>1</v>
      </c>
      <c r="U167" s="8">
        <v>1</v>
      </c>
      <c r="V167" s="8">
        <v>1</v>
      </c>
      <c r="W167" s="8">
        <v>1</v>
      </c>
      <c r="X167" s="8">
        <v>1</v>
      </c>
      <c r="Y167" s="8">
        <v>0</v>
      </c>
      <c r="Z167" s="8">
        <v>0</v>
      </c>
      <c r="AA167" s="8">
        <v>0</v>
      </c>
      <c r="AB167" s="8">
        <v>0</v>
      </c>
      <c r="AC167" s="8">
        <v>0</v>
      </c>
      <c r="AD167" s="8">
        <v>0</v>
      </c>
    </row>
    <row r="168" spans="1:30" ht="50" hidden="1" x14ac:dyDescent="0.25">
      <c r="A168" s="6">
        <v>1173</v>
      </c>
      <c r="B168" s="7" t="s">
        <v>43</v>
      </c>
      <c r="C168" s="7" t="s">
        <v>261</v>
      </c>
      <c r="D168" s="8">
        <v>0.12100000000000001</v>
      </c>
      <c r="E168" s="7" t="s">
        <v>264</v>
      </c>
      <c r="F168" s="7" t="str">
        <f t="shared" si="2"/>
        <v>WK1</v>
      </c>
      <c r="G168" s="8">
        <v>0</v>
      </c>
      <c r="H168" s="8">
        <v>0</v>
      </c>
      <c r="I168" s="8">
        <v>0</v>
      </c>
      <c r="J168" s="8">
        <v>0</v>
      </c>
      <c r="K168" s="8">
        <v>0</v>
      </c>
      <c r="L168" s="8">
        <v>0</v>
      </c>
      <c r="M168" s="8">
        <v>0</v>
      </c>
      <c r="N168" s="8">
        <v>0</v>
      </c>
      <c r="O168" s="8">
        <v>1</v>
      </c>
      <c r="P168" s="8">
        <v>1</v>
      </c>
      <c r="Q168" s="8">
        <v>1</v>
      </c>
      <c r="R168" s="8">
        <v>1</v>
      </c>
      <c r="S168" s="8">
        <v>1</v>
      </c>
      <c r="T168" s="8">
        <v>1</v>
      </c>
      <c r="U168" s="8">
        <v>1</v>
      </c>
      <c r="V168" s="8">
        <v>1</v>
      </c>
      <c r="W168" s="8">
        <v>1</v>
      </c>
      <c r="X168" s="8">
        <v>1</v>
      </c>
      <c r="Y168" s="8">
        <v>0</v>
      </c>
      <c r="Z168" s="8">
        <v>0</v>
      </c>
      <c r="AA168" s="8">
        <v>0</v>
      </c>
      <c r="AB168" s="8">
        <v>0</v>
      </c>
      <c r="AC168" s="8">
        <v>0</v>
      </c>
      <c r="AD168" s="8">
        <v>0</v>
      </c>
    </row>
    <row r="169" spans="1:30" ht="50" hidden="1" x14ac:dyDescent="0.25">
      <c r="A169" s="6">
        <v>1174</v>
      </c>
      <c r="B169" s="7" t="s">
        <v>45</v>
      </c>
      <c r="C169" s="7" t="s">
        <v>261</v>
      </c>
      <c r="D169" s="8">
        <v>0.11</v>
      </c>
      <c r="E169" s="7" t="s">
        <v>265</v>
      </c>
      <c r="F169" s="7" t="str">
        <f t="shared" si="2"/>
        <v>WK1</v>
      </c>
      <c r="G169" s="8">
        <v>0</v>
      </c>
      <c r="H169" s="8">
        <v>0</v>
      </c>
      <c r="I169" s="8">
        <v>0</v>
      </c>
      <c r="J169" s="8">
        <v>0</v>
      </c>
      <c r="K169" s="8">
        <v>0</v>
      </c>
      <c r="L169" s="8">
        <v>0</v>
      </c>
      <c r="M169" s="8">
        <v>0</v>
      </c>
      <c r="N169" s="8">
        <v>0.25</v>
      </c>
      <c r="O169" s="8">
        <v>0.5</v>
      </c>
      <c r="P169" s="8">
        <v>1</v>
      </c>
      <c r="Q169" s="8">
        <v>1</v>
      </c>
      <c r="R169" s="8">
        <v>1</v>
      </c>
      <c r="S169" s="8">
        <v>0.75</v>
      </c>
      <c r="T169" s="8">
        <v>0.75</v>
      </c>
      <c r="U169" s="8">
        <v>1</v>
      </c>
      <c r="V169" s="8">
        <v>1</v>
      </c>
      <c r="W169" s="8">
        <v>1</v>
      </c>
      <c r="X169" s="8">
        <v>0.5</v>
      </c>
      <c r="Y169" s="8">
        <v>0.25</v>
      </c>
      <c r="Z169" s="8">
        <v>0</v>
      </c>
      <c r="AA169" s="8">
        <v>0</v>
      </c>
      <c r="AB169" s="8">
        <v>0</v>
      </c>
      <c r="AC169" s="8">
        <v>0</v>
      </c>
      <c r="AD169" s="8">
        <v>0</v>
      </c>
    </row>
    <row r="170" spans="1:30" ht="50" hidden="1" x14ac:dyDescent="0.25">
      <c r="A170" s="6">
        <v>1175</v>
      </c>
      <c r="B170" s="7" t="s">
        <v>47</v>
      </c>
      <c r="C170" s="7" t="s">
        <v>261</v>
      </c>
      <c r="D170" s="8">
        <v>0.11</v>
      </c>
      <c r="E170" s="7" t="s">
        <v>266</v>
      </c>
      <c r="F170" s="7" t="str">
        <f t="shared" si="2"/>
        <v>WK1</v>
      </c>
      <c r="G170" s="8">
        <v>0</v>
      </c>
      <c r="H170" s="8">
        <v>0</v>
      </c>
      <c r="I170" s="8">
        <v>0</v>
      </c>
      <c r="J170" s="8">
        <v>0</v>
      </c>
      <c r="K170" s="8">
        <v>0</v>
      </c>
      <c r="L170" s="8">
        <v>0</v>
      </c>
      <c r="M170" s="8">
        <v>0</v>
      </c>
      <c r="N170" s="8">
        <v>0</v>
      </c>
      <c r="O170" s="8">
        <v>0</v>
      </c>
      <c r="P170" s="8">
        <v>0</v>
      </c>
      <c r="Q170" s="8">
        <v>0</v>
      </c>
      <c r="R170" s="8">
        <v>0</v>
      </c>
      <c r="S170" s="8">
        <v>0</v>
      </c>
      <c r="T170" s="8">
        <v>0</v>
      </c>
      <c r="U170" s="8">
        <v>0</v>
      </c>
      <c r="V170" s="8">
        <v>0</v>
      </c>
      <c r="W170" s="8">
        <v>0</v>
      </c>
      <c r="X170" s="8">
        <v>0</v>
      </c>
      <c r="Y170" s="8">
        <v>0</v>
      </c>
      <c r="Z170" s="8">
        <v>0</v>
      </c>
      <c r="AA170" s="8">
        <v>0</v>
      </c>
      <c r="AB170" s="8">
        <v>0</v>
      </c>
      <c r="AC170" s="8">
        <v>0</v>
      </c>
      <c r="AD170" s="8">
        <v>0</v>
      </c>
    </row>
    <row r="171" spans="1:30" ht="50" hidden="1" x14ac:dyDescent="0.25">
      <c r="A171" s="6">
        <v>1176</v>
      </c>
      <c r="B171" s="7" t="s">
        <v>185</v>
      </c>
      <c r="C171" s="7" t="s">
        <v>261</v>
      </c>
      <c r="D171" s="8">
        <v>8.199999999999999E-2</v>
      </c>
      <c r="E171" s="7" t="s">
        <v>267</v>
      </c>
      <c r="F171" s="7" t="str">
        <f t="shared" si="2"/>
        <v>WK1</v>
      </c>
      <c r="G171" s="8">
        <v>0</v>
      </c>
      <c r="H171" s="8">
        <v>0</v>
      </c>
      <c r="I171" s="8">
        <v>0</v>
      </c>
      <c r="J171" s="8">
        <v>0</v>
      </c>
      <c r="K171" s="8">
        <v>0</v>
      </c>
      <c r="L171" s="8">
        <v>0</v>
      </c>
      <c r="M171" s="8">
        <v>0</v>
      </c>
      <c r="N171" s="8">
        <v>0.25</v>
      </c>
      <c r="O171" s="8">
        <v>0.5</v>
      </c>
      <c r="P171" s="8">
        <v>1</v>
      </c>
      <c r="Q171" s="8">
        <v>1</v>
      </c>
      <c r="R171" s="8">
        <v>1</v>
      </c>
      <c r="S171" s="8">
        <v>0.75</v>
      </c>
      <c r="T171" s="8">
        <v>0.75</v>
      </c>
      <c r="U171" s="8">
        <v>1</v>
      </c>
      <c r="V171" s="8">
        <v>1</v>
      </c>
      <c r="W171" s="8">
        <v>1</v>
      </c>
      <c r="X171" s="8">
        <v>0.5</v>
      </c>
      <c r="Y171" s="8">
        <v>0.25</v>
      </c>
      <c r="Z171" s="8">
        <v>0</v>
      </c>
      <c r="AA171" s="8">
        <v>0</v>
      </c>
      <c r="AB171" s="8">
        <v>0</v>
      </c>
      <c r="AC171" s="8">
        <v>0</v>
      </c>
      <c r="AD171" s="8">
        <v>0</v>
      </c>
    </row>
    <row r="172" spans="1:30" ht="37.5" hidden="1" x14ac:dyDescent="0.25">
      <c r="A172" s="6">
        <v>1177</v>
      </c>
      <c r="B172" s="7" t="s">
        <v>38</v>
      </c>
      <c r="C172" s="7" t="s">
        <v>268</v>
      </c>
      <c r="D172" s="8">
        <v>0.12375</v>
      </c>
      <c r="E172" s="7" t="s">
        <v>269</v>
      </c>
      <c r="F172" s="7" t="str">
        <f t="shared" si="2"/>
        <v>WK1</v>
      </c>
      <c r="G172" s="8">
        <v>0</v>
      </c>
      <c r="H172" s="8">
        <v>0</v>
      </c>
      <c r="I172" s="8">
        <v>0</v>
      </c>
      <c r="J172" s="8">
        <v>0</v>
      </c>
      <c r="K172" s="8">
        <v>0</v>
      </c>
      <c r="L172" s="8">
        <v>0</v>
      </c>
      <c r="M172" s="8">
        <v>0</v>
      </c>
      <c r="N172" s="8">
        <v>0</v>
      </c>
      <c r="O172" s="8">
        <v>0</v>
      </c>
      <c r="P172" s="8">
        <v>0.75</v>
      </c>
      <c r="Q172" s="8">
        <v>1</v>
      </c>
      <c r="R172" s="8">
        <v>1</v>
      </c>
      <c r="S172" s="8">
        <v>0.75</v>
      </c>
      <c r="T172" s="8">
        <v>0.75</v>
      </c>
      <c r="U172" s="8">
        <v>1</v>
      </c>
      <c r="V172" s="8">
        <v>1</v>
      </c>
      <c r="W172" s="8">
        <v>1</v>
      </c>
      <c r="X172" s="8">
        <v>0.75</v>
      </c>
      <c r="Y172" s="8">
        <v>0</v>
      </c>
      <c r="Z172" s="8">
        <v>0</v>
      </c>
      <c r="AA172" s="8">
        <v>0</v>
      </c>
      <c r="AB172" s="8">
        <v>0</v>
      </c>
      <c r="AC172" s="8">
        <v>0</v>
      </c>
      <c r="AD172" s="8">
        <v>0</v>
      </c>
    </row>
    <row r="173" spans="1:30" ht="37.5" hidden="1" x14ac:dyDescent="0.25">
      <c r="A173" s="6">
        <v>1178</v>
      </c>
      <c r="B173" s="7" t="s">
        <v>41</v>
      </c>
      <c r="C173" s="7" t="s">
        <v>268</v>
      </c>
      <c r="D173" s="8">
        <v>0.11244444444444444</v>
      </c>
      <c r="E173" s="7" t="s">
        <v>270</v>
      </c>
      <c r="F173" s="7" t="str">
        <f t="shared" si="2"/>
        <v>WK1</v>
      </c>
      <c r="G173" s="8">
        <v>0</v>
      </c>
      <c r="H173" s="8">
        <v>0</v>
      </c>
      <c r="I173" s="8">
        <v>0</v>
      </c>
      <c r="J173" s="8">
        <v>0</v>
      </c>
      <c r="K173" s="8">
        <v>0</v>
      </c>
      <c r="L173" s="8">
        <v>0</v>
      </c>
      <c r="M173" s="8">
        <v>0</v>
      </c>
      <c r="N173" s="8">
        <v>0.25</v>
      </c>
      <c r="O173" s="8">
        <v>0.5</v>
      </c>
      <c r="P173" s="8">
        <v>1</v>
      </c>
      <c r="Q173" s="8">
        <v>1</v>
      </c>
      <c r="R173" s="8">
        <v>1</v>
      </c>
      <c r="S173" s="8">
        <v>0.75</v>
      </c>
      <c r="T173" s="8">
        <v>0.75</v>
      </c>
      <c r="U173" s="8">
        <v>1</v>
      </c>
      <c r="V173" s="8">
        <v>1</v>
      </c>
      <c r="W173" s="8">
        <v>1</v>
      </c>
      <c r="X173" s="8">
        <v>0.5</v>
      </c>
      <c r="Y173" s="8">
        <v>0.25</v>
      </c>
      <c r="Z173" s="8">
        <v>0</v>
      </c>
      <c r="AA173" s="8">
        <v>0</v>
      </c>
      <c r="AB173" s="8">
        <v>0</v>
      </c>
      <c r="AC173" s="8">
        <v>0</v>
      </c>
      <c r="AD173" s="8">
        <v>0</v>
      </c>
    </row>
    <row r="174" spans="1:30" ht="37.5" hidden="1" x14ac:dyDescent="0.25">
      <c r="A174" s="6">
        <v>1179</v>
      </c>
      <c r="B174" s="7" t="s">
        <v>43</v>
      </c>
      <c r="C174" s="7" t="s">
        <v>268</v>
      </c>
      <c r="D174" s="8">
        <v>0.11244444444444444</v>
      </c>
      <c r="E174" s="7" t="s">
        <v>271</v>
      </c>
      <c r="F174" s="7" t="str">
        <f t="shared" si="2"/>
        <v>WK1</v>
      </c>
      <c r="G174" s="8">
        <v>0</v>
      </c>
      <c r="H174" s="8">
        <v>0</v>
      </c>
      <c r="I174" s="8">
        <v>0</v>
      </c>
      <c r="J174" s="8">
        <v>0</v>
      </c>
      <c r="K174" s="8">
        <v>0</v>
      </c>
      <c r="L174" s="8">
        <v>0</v>
      </c>
      <c r="M174" s="8">
        <v>0</v>
      </c>
      <c r="N174" s="8">
        <v>0.25</v>
      </c>
      <c r="O174" s="8">
        <v>0.5</v>
      </c>
      <c r="P174" s="8">
        <v>1</v>
      </c>
      <c r="Q174" s="8">
        <v>1</v>
      </c>
      <c r="R174" s="8">
        <v>1</v>
      </c>
      <c r="S174" s="8">
        <v>0.75</v>
      </c>
      <c r="T174" s="8">
        <v>0.75</v>
      </c>
      <c r="U174" s="8">
        <v>1</v>
      </c>
      <c r="V174" s="8">
        <v>1</v>
      </c>
      <c r="W174" s="8">
        <v>1</v>
      </c>
      <c r="X174" s="8">
        <v>0.5</v>
      </c>
      <c r="Y174" s="8">
        <v>0.25</v>
      </c>
      <c r="Z174" s="8">
        <v>0</v>
      </c>
      <c r="AA174" s="8">
        <v>0</v>
      </c>
      <c r="AB174" s="8">
        <v>0</v>
      </c>
      <c r="AC174" s="8">
        <v>0</v>
      </c>
      <c r="AD174" s="8">
        <v>0</v>
      </c>
    </row>
    <row r="175" spans="1:30" ht="37.5" hidden="1" x14ac:dyDescent="0.25">
      <c r="A175" s="6">
        <v>1180</v>
      </c>
      <c r="B175" s="7" t="s">
        <v>45</v>
      </c>
      <c r="C175" s="7" t="s">
        <v>268</v>
      </c>
      <c r="D175" s="8">
        <v>0.10388888888888888</v>
      </c>
      <c r="E175" s="7" t="s">
        <v>272</v>
      </c>
      <c r="F175" s="7" t="str">
        <f t="shared" si="2"/>
        <v>WK1</v>
      </c>
      <c r="G175" s="8">
        <v>0</v>
      </c>
      <c r="H175" s="8">
        <v>0</v>
      </c>
      <c r="I175" s="8">
        <v>0</v>
      </c>
      <c r="J175" s="8">
        <v>0</v>
      </c>
      <c r="K175" s="8">
        <v>0</v>
      </c>
      <c r="L175" s="8">
        <v>0</v>
      </c>
      <c r="M175" s="8">
        <v>0</v>
      </c>
      <c r="N175" s="8">
        <v>0.25</v>
      </c>
      <c r="O175" s="8">
        <v>0.5</v>
      </c>
      <c r="P175" s="8">
        <v>1</v>
      </c>
      <c r="Q175" s="8">
        <v>1</v>
      </c>
      <c r="R175" s="8">
        <v>1</v>
      </c>
      <c r="S175" s="8">
        <v>0.75</v>
      </c>
      <c r="T175" s="8">
        <v>0.75</v>
      </c>
      <c r="U175" s="8">
        <v>1</v>
      </c>
      <c r="V175" s="8">
        <v>1</v>
      </c>
      <c r="W175" s="8">
        <v>1</v>
      </c>
      <c r="X175" s="8">
        <v>0.5</v>
      </c>
      <c r="Y175" s="8">
        <v>0.25</v>
      </c>
      <c r="Z175" s="8">
        <v>0</v>
      </c>
      <c r="AA175" s="8">
        <v>0</v>
      </c>
      <c r="AB175" s="8">
        <v>0</v>
      </c>
      <c r="AC175" s="8">
        <v>0</v>
      </c>
      <c r="AD175" s="8">
        <v>0</v>
      </c>
    </row>
    <row r="176" spans="1:30" ht="37.5" hidden="1" x14ac:dyDescent="0.25">
      <c r="A176" s="6">
        <v>1181</v>
      </c>
      <c r="B176" s="7" t="s">
        <v>55</v>
      </c>
      <c r="C176" s="7" t="s">
        <v>268</v>
      </c>
      <c r="D176" s="8">
        <v>0.18333333333333335</v>
      </c>
      <c r="E176" s="7" t="s">
        <v>273</v>
      </c>
      <c r="F176" s="7" t="str">
        <f t="shared" si="2"/>
        <v>WK1</v>
      </c>
      <c r="G176" s="8">
        <v>0</v>
      </c>
      <c r="H176" s="8">
        <v>0</v>
      </c>
      <c r="I176" s="8">
        <v>0</v>
      </c>
      <c r="J176" s="8">
        <v>0</v>
      </c>
      <c r="K176" s="8">
        <v>0</v>
      </c>
      <c r="L176" s="8">
        <v>0</v>
      </c>
      <c r="M176" s="8">
        <v>0</v>
      </c>
      <c r="N176" s="8">
        <v>0</v>
      </c>
      <c r="O176" s="8">
        <v>0</v>
      </c>
      <c r="P176" s="8">
        <v>0</v>
      </c>
      <c r="Q176" s="8">
        <v>0</v>
      </c>
      <c r="R176" s="8">
        <v>0.25</v>
      </c>
      <c r="S176" s="8">
        <v>1</v>
      </c>
      <c r="T176" s="8">
        <v>1</v>
      </c>
      <c r="U176" s="8">
        <v>0.75</v>
      </c>
      <c r="V176" s="8">
        <v>0</v>
      </c>
      <c r="W176" s="8">
        <v>0</v>
      </c>
      <c r="X176" s="8">
        <v>0</v>
      </c>
      <c r="Y176" s="8">
        <v>0</v>
      </c>
      <c r="Z176" s="8">
        <v>0</v>
      </c>
      <c r="AA176" s="8">
        <v>0</v>
      </c>
      <c r="AB176" s="8">
        <v>0</v>
      </c>
      <c r="AC176" s="8">
        <v>0</v>
      </c>
      <c r="AD176" s="8">
        <v>0</v>
      </c>
    </row>
    <row r="177" spans="1:30" ht="37.5" hidden="1" x14ac:dyDescent="0.25">
      <c r="A177" s="6">
        <v>1182</v>
      </c>
      <c r="B177" s="7" t="s">
        <v>239</v>
      </c>
      <c r="C177" s="7" t="s">
        <v>268</v>
      </c>
      <c r="D177" s="8">
        <v>0.16250000000000001</v>
      </c>
      <c r="E177" s="7" t="s">
        <v>274</v>
      </c>
      <c r="F177" s="7" t="str">
        <f t="shared" si="2"/>
        <v>WK1</v>
      </c>
      <c r="G177" s="8">
        <v>0</v>
      </c>
      <c r="H177" s="8">
        <v>0</v>
      </c>
      <c r="I177" s="8">
        <v>0</v>
      </c>
      <c r="J177" s="8">
        <v>0</v>
      </c>
      <c r="K177" s="8">
        <v>0</v>
      </c>
      <c r="L177" s="8">
        <v>0</v>
      </c>
      <c r="M177" s="8">
        <v>0</v>
      </c>
      <c r="N177" s="8">
        <v>0</v>
      </c>
      <c r="O177" s="8">
        <v>0</v>
      </c>
      <c r="P177" s="8">
        <v>0.75</v>
      </c>
      <c r="Q177" s="8">
        <v>1</v>
      </c>
      <c r="R177" s="8">
        <v>1</v>
      </c>
      <c r="S177" s="8">
        <v>0.75</v>
      </c>
      <c r="T177" s="8">
        <v>0.75</v>
      </c>
      <c r="U177" s="8">
        <v>1</v>
      </c>
      <c r="V177" s="8">
        <v>1</v>
      </c>
      <c r="W177" s="8">
        <v>1</v>
      </c>
      <c r="X177" s="8">
        <v>0.75</v>
      </c>
      <c r="Y177" s="8">
        <v>0</v>
      </c>
      <c r="Z177" s="8">
        <v>0</v>
      </c>
      <c r="AA177" s="8">
        <v>0</v>
      </c>
      <c r="AB177" s="8">
        <v>0</v>
      </c>
      <c r="AC177" s="8">
        <v>0</v>
      </c>
      <c r="AD177" s="8">
        <v>0</v>
      </c>
    </row>
    <row r="178" spans="1:30" ht="37.5" x14ac:dyDescent="0.25">
      <c r="A178" s="6">
        <v>1183</v>
      </c>
      <c r="B178" s="7" t="s">
        <v>57</v>
      </c>
      <c r="C178" s="7" t="s">
        <v>268</v>
      </c>
      <c r="D178" s="8">
        <v>0.2577777776666666</v>
      </c>
      <c r="E178" s="7" t="s">
        <v>275</v>
      </c>
      <c r="F178" s="7" t="str">
        <f t="shared" si="2"/>
        <v>WK1</v>
      </c>
      <c r="G178" s="8">
        <v>0</v>
      </c>
      <c r="H178" s="8">
        <v>0</v>
      </c>
      <c r="I178" s="8">
        <v>0</v>
      </c>
      <c r="J178" s="8">
        <v>0</v>
      </c>
      <c r="K178" s="8">
        <v>0</v>
      </c>
      <c r="L178" s="8">
        <v>0</v>
      </c>
      <c r="M178" s="8">
        <v>0</v>
      </c>
      <c r="N178" s="8">
        <v>0</v>
      </c>
      <c r="O178" s="8">
        <v>0</v>
      </c>
      <c r="P178" s="8">
        <v>0</v>
      </c>
      <c r="Q178" s="8">
        <v>0</v>
      </c>
      <c r="R178" s="8">
        <v>0.25</v>
      </c>
      <c r="S178" s="8">
        <v>1</v>
      </c>
      <c r="T178" s="8">
        <v>1</v>
      </c>
      <c r="U178" s="8">
        <v>0.75</v>
      </c>
      <c r="V178" s="8">
        <v>0</v>
      </c>
      <c r="W178" s="8">
        <v>0</v>
      </c>
      <c r="X178" s="8">
        <v>0</v>
      </c>
      <c r="Y178" s="8">
        <v>0</v>
      </c>
      <c r="Z178" s="8">
        <v>0</v>
      </c>
      <c r="AA178" s="8">
        <v>0</v>
      </c>
      <c r="AB178" s="8">
        <v>0</v>
      </c>
      <c r="AC178" s="8">
        <v>0</v>
      </c>
      <c r="AD178" s="8">
        <v>0</v>
      </c>
    </row>
    <row r="179" spans="1:30" ht="37.5" hidden="1" x14ac:dyDescent="0.25">
      <c r="A179" s="6">
        <v>1184</v>
      </c>
      <c r="B179" s="7" t="s">
        <v>47</v>
      </c>
      <c r="C179" s="7" t="s">
        <v>268</v>
      </c>
      <c r="D179" s="8">
        <v>0.11</v>
      </c>
      <c r="E179" s="7" t="s">
        <v>276</v>
      </c>
      <c r="F179" s="7" t="str">
        <f t="shared" si="2"/>
        <v>WK1</v>
      </c>
      <c r="G179" s="8">
        <v>0</v>
      </c>
      <c r="H179" s="8">
        <v>0</v>
      </c>
      <c r="I179" s="8">
        <v>0</v>
      </c>
      <c r="J179" s="8">
        <v>0</v>
      </c>
      <c r="K179" s="8">
        <v>0</v>
      </c>
      <c r="L179" s="8">
        <v>0</v>
      </c>
      <c r="M179" s="8">
        <v>0</v>
      </c>
      <c r="N179" s="8">
        <v>0</v>
      </c>
      <c r="O179" s="8">
        <v>0</v>
      </c>
      <c r="P179" s="8">
        <v>0</v>
      </c>
      <c r="Q179" s="8">
        <v>0</v>
      </c>
      <c r="R179" s="8">
        <v>0</v>
      </c>
      <c r="S179" s="8">
        <v>0</v>
      </c>
      <c r="T179" s="8">
        <v>0</v>
      </c>
      <c r="U179" s="8">
        <v>0</v>
      </c>
      <c r="V179" s="8">
        <v>0</v>
      </c>
      <c r="W179" s="8">
        <v>0</v>
      </c>
      <c r="X179" s="8">
        <v>0</v>
      </c>
      <c r="Y179" s="8">
        <v>0</v>
      </c>
      <c r="Z179" s="8">
        <v>0</v>
      </c>
      <c r="AA179" s="8">
        <v>0</v>
      </c>
      <c r="AB179" s="8">
        <v>0</v>
      </c>
      <c r="AC179" s="8">
        <v>0</v>
      </c>
      <c r="AD179" s="8">
        <v>0</v>
      </c>
    </row>
    <row r="180" spans="1:30" ht="37.5" hidden="1" x14ac:dyDescent="0.25">
      <c r="A180" s="6">
        <v>1185</v>
      </c>
      <c r="B180" s="7" t="s">
        <v>215</v>
      </c>
      <c r="C180" s="7" t="s">
        <v>268</v>
      </c>
      <c r="D180" s="8">
        <v>0.14299999999999999</v>
      </c>
      <c r="E180" s="7" t="s">
        <v>277</v>
      </c>
      <c r="F180" s="7" t="str">
        <f t="shared" si="2"/>
        <v>WK1</v>
      </c>
      <c r="G180" s="8">
        <v>0</v>
      </c>
      <c r="H180" s="8">
        <v>0</v>
      </c>
      <c r="I180" s="8">
        <v>0</v>
      </c>
      <c r="J180" s="8">
        <v>0</v>
      </c>
      <c r="K180" s="8">
        <v>0</v>
      </c>
      <c r="L180" s="8">
        <v>0</v>
      </c>
      <c r="M180" s="8">
        <v>0</v>
      </c>
      <c r="N180" s="8">
        <v>0</v>
      </c>
      <c r="O180" s="8">
        <v>1</v>
      </c>
      <c r="P180" s="8">
        <v>1</v>
      </c>
      <c r="Q180" s="8">
        <v>1</v>
      </c>
      <c r="R180" s="8">
        <v>1</v>
      </c>
      <c r="S180" s="8">
        <v>1</v>
      </c>
      <c r="T180" s="8">
        <v>1</v>
      </c>
      <c r="U180" s="8">
        <v>1</v>
      </c>
      <c r="V180" s="8">
        <v>1</v>
      </c>
      <c r="W180" s="8">
        <v>1</v>
      </c>
      <c r="X180" s="8">
        <v>1</v>
      </c>
      <c r="Y180" s="8">
        <v>0</v>
      </c>
      <c r="Z180" s="8">
        <v>0</v>
      </c>
      <c r="AA180" s="8">
        <v>0</v>
      </c>
      <c r="AB180" s="8">
        <v>0</v>
      </c>
      <c r="AC180" s="8">
        <v>0</v>
      </c>
      <c r="AD180" s="8">
        <v>0</v>
      </c>
    </row>
    <row r="181" spans="1:30" ht="37.5" hidden="1" x14ac:dyDescent="0.25">
      <c r="A181" s="6">
        <v>1186</v>
      </c>
      <c r="B181" s="7" t="s">
        <v>49</v>
      </c>
      <c r="C181" s="7" t="s">
        <v>268</v>
      </c>
      <c r="D181" s="8">
        <v>0.12116197183098593</v>
      </c>
      <c r="E181" s="7" t="s">
        <v>260</v>
      </c>
      <c r="F181" s="7" t="str">
        <f t="shared" si="2"/>
        <v>WK1</v>
      </c>
      <c r="G181" s="8">
        <v>0</v>
      </c>
      <c r="H181" s="8">
        <v>0</v>
      </c>
      <c r="I181" s="8">
        <v>0</v>
      </c>
      <c r="J181" s="8">
        <v>0</v>
      </c>
      <c r="K181" s="8">
        <v>0</v>
      </c>
      <c r="L181" s="8">
        <v>0</v>
      </c>
      <c r="M181" s="8">
        <v>0</v>
      </c>
      <c r="N181" s="8">
        <v>0.1</v>
      </c>
      <c r="O181" s="8">
        <v>0.25</v>
      </c>
      <c r="P181" s="8">
        <v>0.75</v>
      </c>
      <c r="Q181" s="8">
        <v>1</v>
      </c>
      <c r="R181" s="8">
        <v>1</v>
      </c>
      <c r="S181" s="8">
        <v>0.5</v>
      </c>
      <c r="T181" s="8">
        <v>0.5</v>
      </c>
      <c r="U181" s="8">
        <v>1</v>
      </c>
      <c r="V181" s="8">
        <v>1</v>
      </c>
      <c r="W181" s="8">
        <v>0.5</v>
      </c>
      <c r="X181" s="8">
        <v>0.5</v>
      </c>
      <c r="Y181" s="8">
        <v>0</v>
      </c>
      <c r="Z181" s="8">
        <v>0</v>
      </c>
      <c r="AA181" s="8">
        <v>0</v>
      </c>
      <c r="AB181" s="8">
        <v>0</v>
      </c>
      <c r="AC181" s="8">
        <v>0</v>
      </c>
      <c r="AD181" s="8">
        <v>0</v>
      </c>
    </row>
    <row r="182" spans="1:30" ht="37.5" hidden="1" x14ac:dyDescent="0.25">
      <c r="A182" s="6">
        <v>1187</v>
      </c>
      <c r="B182" s="7" t="s">
        <v>53</v>
      </c>
      <c r="C182" s="7" t="s">
        <v>278</v>
      </c>
      <c r="D182" s="8">
        <v>0.12587301587250002</v>
      </c>
      <c r="E182" s="7" t="s">
        <v>279</v>
      </c>
      <c r="F182" s="7" t="str">
        <f t="shared" si="2"/>
        <v>WK1</v>
      </c>
      <c r="G182" s="8">
        <v>0</v>
      </c>
      <c r="H182" s="8">
        <v>0</v>
      </c>
      <c r="I182" s="8">
        <v>0</v>
      </c>
      <c r="J182" s="8">
        <v>0</v>
      </c>
      <c r="K182" s="8">
        <v>0</v>
      </c>
      <c r="L182" s="8">
        <v>0</v>
      </c>
      <c r="M182" s="8">
        <v>0</v>
      </c>
      <c r="N182" s="8">
        <v>0</v>
      </c>
      <c r="O182" s="8">
        <v>0</v>
      </c>
      <c r="P182" s="8">
        <v>1</v>
      </c>
      <c r="Q182" s="8">
        <v>1</v>
      </c>
      <c r="R182" s="8">
        <v>1</v>
      </c>
      <c r="S182" s="8">
        <v>1</v>
      </c>
      <c r="T182" s="8">
        <v>1</v>
      </c>
      <c r="U182" s="8">
        <v>1</v>
      </c>
      <c r="V182" s="8">
        <v>1</v>
      </c>
      <c r="W182" s="8">
        <v>1</v>
      </c>
      <c r="X182" s="8">
        <v>1</v>
      </c>
      <c r="Y182" s="8">
        <v>1</v>
      </c>
      <c r="Z182" s="8">
        <v>1</v>
      </c>
      <c r="AA182" s="8">
        <v>1</v>
      </c>
      <c r="AB182" s="8">
        <v>0</v>
      </c>
      <c r="AC182" s="8">
        <v>0</v>
      </c>
      <c r="AD182" s="8">
        <v>0</v>
      </c>
    </row>
    <row r="183" spans="1:30" ht="37.5" hidden="1" x14ac:dyDescent="0.25">
      <c r="A183" s="6">
        <v>1188</v>
      </c>
      <c r="B183" s="7" t="s">
        <v>84</v>
      </c>
      <c r="C183" s="7" t="s">
        <v>278</v>
      </c>
      <c r="D183" s="8">
        <v>0.10083333333333336</v>
      </c>
      <c r="E183" s="7" t="s">
        <v>280</v>
      </c>
      <c r="F183" s="7" t="str">
        <f t="shared" si="2"/>
        <v>WK1</v>
      </c>
      <c r="G183" s="8">
        <v>0</v>
      </c>
      <c r="H183" s="8">
        <v>0</v>
      </c>
      <c r="I183" s="8">
        <v>0</v>
      </c>
      <c r="J183" s="8">
        <v>0</v>
      </c>
      <c r="K183" s="8">
        <v>0</v>
      </c>
      <c r="L183" s="8">
        <v>0</v>
      </c>
      <c r="M183" s="8">
        <v>0</v>
      </c>
      <c r="N183" s="8">
        <v>0</v>
      </c>
      <c r="O183" s="8">
        <v>0</v>
      </c>
      <c r="P183" s="8">
        <v>1</v>
      </c>
      <c r="Q183" s="8">
        <v>1</v>
      </c>
      <c r="R183" s="8">
        <v>1</v>
      </c>
      <c r="S183" s="8">
        <v>1</v>
      </c>
      <c r="T183" s="8">
        <v>1</v>
      </c>
      <c r="U183" s="8">
        <v>1</v>
      </c>
      <c r="V183" s="8">
        <v>1</v>
      </c>
      <c r="W183" s="8">
        <v>1</v>
      </c>
      <c r="X183" s="8">
        <v>1</v>
      </c>
      <c r="Y183" s="8">
        <v>1</v>
      </c>
      <c r="Z183" s="8">
        <v>1</v>
      </c>
      <c r="AA183" s="8">
        <v>1</v>
      </c>
      <c r="AB183" s="8">
        <v>0</v>
      </c>
      <c r="AC183" s="8">
        <v>0</v>
      </c>
      <c r="AD183" s="8">
        <v>0</v>
      </c>
    </row>
    <row r="184" spans="1:30" ht="37.5" hidden="1" x14ac:dyDescent="0.25">
      <c r="A184" s="6">
        <v>1189</v>
      </c>
      <c r="B184" s="7" t="s">
        <v>80</v>
      </c>
      <c r="C184" s="7" t="s">
        <v>278</v>
      </c>
      <c r="D184" s="8">
        <v>4.6710526315131569E-2</v>
      </c>
      <c r="E184" s="7" t="s">
        <v>281</v>
      </c>
      <c r="F184" s="7" t="str">
        <f t="shared" si="2"/>
        <v>WK1</v>
      </c>
      <c r="G184" s="8">
        <v>0</v>
      </c>
      <c r="H184" s="8">
        <v>0</v>
      </c>
      <c r="I184" s="8">
        <v>0</v>
      </c>
      <c r="J184" s="8">
        <v>0</v>
      </c>
      <c r="K184" s="8">
        <v>0</v>
      </c>
      <c r="L184" s="8">
        <v>0</v>
      </c>
      <c r="M184" s="8">
        <v>0</v>
      </c>
      <c r="N184" s="8">
        <v>0</v>
      </c>
      <c r="O184" s="8">
        <v>0</v>
      </c>
      <c r="P184" s="8">
        <v>1</v>
      </c>
      <c r="Q184" s="8">
        <v>1</v>
      </c>
      <c r="R184" s="8">
        <v>1</v>
      </c>
      <c r="S184" s="8">
        <v>1</v>
      </c>
      <c r="T184" s="8">
        <v>1</v>
      </c>
      <c r="U184" s="8">
        <v>1</v>
      </c>
      <c r="V184" s="8">
        <v>1</v>
      </c>
      <c r="W184" s="8">
        <v>1</v>
      </c>
      <c r="X184" s="8">
        <v>1</v>
      </c>
      <c r="Y184" s="8">
        <v>1</v>
      </c>
      <c r="Z184" s="8">
        <v>1</v>
      </c>
      <c r="AA184" s="8">
        <v>1</v>
      </c>
      <c r="AB184" s="8">
        <v>0</v>
      </c>
      <c r="AC184" s="8">
        <v>0</v>
      </c>
      <c r="AD184" s="8">
        <v>0</v>
      </c>
    </row>
    <row r="185" spans="1:30" ht="37.5" x14ac:dyDescent="0.25">
      <c r="A185" s="6">
        <v>1190</v>
      </c>
      <c r="B185" s="7" t="s">
        <v>57</v>
      </c>
      <c r="C185" s="7" t="s">
        <v>278</v>
      </c>
      <c r="D185" s="8">
        <v>0.21830508462711862</v>
      </c>
      <c r="E185" s="7" t="s">
        <v>282</v>
      </c>
      <c r="F185" s="7" t="str">
        <f t="shared" si="2"/>
        <v>WK1</v>
      </c>
      <c r="G185" s="8">
        <v>0</v>
      </c>
      <c r="H185" s="8">
        <v>0</v>
      </c>
      <c r="I185" s="8">
        <v>0</v>
      </c>
      <c r="J185" s="8">
        <v>0</v>
      </c>
      <c r="K185" s="8">
        <v>0</v>
      </c>
      <c r="L185" s="8">
        <v>0</v>
      </c>
      <c r="M185" s="8">
        <v>0</v>
      </c>
      <c r="N185" s="8">
        <v>0</v>
      </c>
      <c r="O185" s="8">
        <v>0</v>
      </c>
      <c r="P185" s="8">
        <v>0</v>
      </c>
      <c r="Q185" s="8">
        <v>0</v>
      </c>
      <c r="R185" s="8">
        <v>0.25</v>
      </c>
      <c r="S185" s="8">
        <v>1</v>
      </c>
      <c r="T185" s="8">
        <v>1</v>
      </c>
      <c r="U185" s="8">
        <v>0.75</v>
      </c>
      <c r="V185" s="8">
        <v>0</v>
      </c>
      <c r="W185" s="8">
        <v>0</v>
      </c>
      <c r="X185" s="8">
        <v>0</v>
      </c>
      <c r="Y185" s="8">
        <v>0</v>
      </c>
      <c r="Z185" s="8">
        <v>0</v>
      </c>
      <c r="AA185" s="8">
        <v>0</v>
      </c>
      <c r="AB185" s="8">
        <v>0</v>
      </c>
      <c r="AC185" s="8">
        <v>0</v>
      </c>
      <c r="AD185" s="8">
        <v>0</v>
      </c>
    </row>
    <row r="186" spans="1:30" ht="37.5" hidden="1" x14ac:dyDescent="0.25">
      <c r="A186" s="6">
        <v>1191</v>
      </c>
      <c r="B186" s="7" t="s">
        <v>283</v>
      </c>
      <c r="C186" s="7" t="s">
        <v>278</v>
      </c>
      <c r="D186" s="8">
        <v>0.13222222224583333</v>
      </c>
      <c r="E186" s="7" t="s">
        <v>284</v>
      </c>
      <c r="F186" s="7" t="str">
        <f t="shared" si="2"/>
        <v>Wk1</v>
      </c>
      <c r="G186" s="8">
        <v>0</v>
      </c>
      <c r="H186" s="8">
        <v>0</v>
      </c>
      <c r="I186" s="8">
        <v>0</v>
      </c>
      <c r="J186" s="8">
        <v>0</v>
      </c>
      <c r="K186" s="8">
        <v>0</v>
      </c>
      <c r="L186" s="8">
        <v>0</v>
      </c>
      <c r="M186" s="8">
        <v>0</v>
      </c>
      <c r="N186" s="8">
        <v>0</v>
      </c>
      <c r="O186" s="8">
        <v>0</v>
      </c>
      <c r="P186" s="8">
        <v>1</v>
      </c>
      <c r="Q186" s="8">
        <v>1</v>
      </c>
      <c r="R186" s="8">
        <v>1</v>
      </c>
      <c r="S186" s="8">
        <v>1</v>
      </c>
      <c r="T186" s="8">
        <v>1</v>
      </c>
      <c r="U186" s="8">
        <v>1</v>
      </c>
      <c r="V186" s="8">
        <v>1</v>
      </c>
      <c r="W186" s="8">
        <v>1</v>
      </c>
      <c r="X186" s="8">
        <v>1</v>
      </c>
      <c r="Y186" s="8">
        <v>1</v>
      </c>
      <c r="Z186" s="8">
        <v>1</v>
      </c>
      <c r="AA186" s="8">
        <v>1</v>
      </c>
      <c r="AB186" s="8">
        <v>0</v>
      </c>
      <c r="AC186" s="8">
        <v>0</v>
      </c>
      <c r="AD186" s="8">
        <v>0</v>
      </c>
    </row>
    <row r="187" spans="1:30" ht="37.5" hidden="1" x14ac:dyDescent="0.25">
      <c r="A187" s="6">
        <v>1192</v>
      </c>
      <c r="B187" s="7" t="s">
        <v>51</v>
      </c>
      <c r="C187" s="7" t="s">
        <v>278</v>
      </c>
      <c r="D187" s="8">
        <v>0.17</v>
      </c>
      <c r="E187" s="7" t="s">
        <v>285</v>
      </c>
      <c r="F187" s="7" t="str">
        <f t="shared" si="2"/>
        <v>Wk1</v>
      </c>
      <c r="G187" s="8">
        <v>0</v>
      </c>
      <c r="H187" s="8">
        <v>0</v>
      </c>
      <c r="I187" s="8">
        <v>0</v>
      </c>
      <c r="J187" s="8">
        <v>0</v>
      </c>
      <c r="K187" s="8">
        <v>0</v>
      </c>
      <c r="L187" s="8">
        <v>0</v>
      </c>
      <c r="M187" s="8">
        <v>0.25</v>
      </c>
      <c r="N187" s="8">
        <v>1</v>
      </c>
      <c r="O187" s="8">
        <v>1</v>
      </c>
      <c r="P187" s="8">
        <v>0.25</v>
      </c>
      <c r="Q187" s="8">
        <v>0</v>
      </c>
      <c r="R187" s="8">
        <v>0.25</v>
      </c>
      <c r="S187" s="8">
        <v>1</v>
      </c>
      <c r="T187" s="8">
        <v>1</v>
      </c>
      <c r="U187" s="8">
        <v>0.5</v>
      </c>
      <c r="V187" s="8">
        <v>0</v>
      </c>
      <c r="W187" s="8">
        <v>0</v>
      </c>
      <c r="X187" s="8">
        <v>0.5</v>
      </c>
      <c r="Y187" s="8">
        <v>1</v>
      </c>
      <c r="Z187" s="8">
        <v>1</v>
      </c>
      <c r="AA187" s="8">
        <v>0.5</v>
      </c>
      <c r="AB187" s="8">
        <v>0</v>
      </c>
      <c r="AC187" s="8">
        <v>0</v>
      </c>
      <c r="AD187" s="8">
        <v>0</v>
      </c>
    </row>
    <row r="188" spans="1:30" ht="37.5" hidden="1" x14ac:dyDescent="0.25">
      <c r="A188" s="6">
        <v>1193</v>
      </c>
      <c r="B188" s="7" t="s">
        <v>55</v>
      </c>
      <c r="C188" s="7" t="s">
        <v>278</v>
      </c>
      <c r="D188" s="8">
        <v>0.13050847448491526</v>
      </c>
      <c r="E188" s="7" t="s">
        <v>286</v>
      </c>
      <c r="F188" s="7" t="str">
        <f t="shared" si="2"/>
        <v>WK1</v>
      </c>
      <c r="G188" s="8">
        <v>0</v>
      </c>
      <c r="H188" s="8">
        <v>0</v>
      </c>
      <c r="I188" s="8">
        <v>0</v>
      </c>
      <c r="J188" s="8">
        <v>0</v>
      </c>
      <c r="K188" s="8">
        <v>0</v>
      </c>
      <c r="L188" s="8">
        <v>0</v>
      </c>
      <c r="M188" s="8">
        <v>0</v>
      </c>
      <c r="N188" s="8">
        <v>0</v>
      </c>
      <c r="O188" s="8">
        <v>0</v>
      </c>
      <c r="P188" s="8">
        <v>0</v>
      </c>
      <c r="Q188" s="8">
        <v>0</v>
      </c>
      <c r="R188" s="8">
        <v>0.25</v>
      </c>
      <c r="S188" s="8">
        <v>1</v>
      </c>
      <c r="T188" s="8">
        <v>1</v>
      </c>
      <c r="U188" s="8">
        <v>0.75</v>
      </c>
      <c r="V188" s="8">
        <v>0</v>
      </c>
      <c r="W188" s="8">
        <v>0</v>
      </c>
      <c r="X188" s="8">
        <v>0</v>
      </c>
      <c r="Y188" s="8">
        <v>0</v>
      </c>
      <c r="Z188" s="8">
        <v>0</v>
      </c>
      <c r="AA188" s="8">
        <v>0</v>
      </c>
      <c r="AB188" s="8">
        <v>0</v>
      </c>
      <c r="AC188" s="8">
        <v>0</v>
      </c>
      <c r="AD188" s="8">
        <v>0</v>
      </c>
    </row>
    <row r="189" spans="1:30" ht="37.5" hidden="1" x14ac:dyDescent="0.25">
      <c r="A189" s="6">
        <v>1194</v>
      </c>
      <c r="B189" s="7" t="s">
        <v>239</v>
      </c>
      <c r="C189" s="7" t="s">
        <v>278</v>
      </c>
      <c r="D189" s="8">
        <v>0.17499999999999999</v>
      </c>
      <c r="E189" s="7" t="s">
        <v>287</v>
      </c>
      <c r="F189" s="7" t="str">
        <f t="shared" si="2"/>
        <v>WK1</v>
      </c>
      <c r="G189" s="8">
        <v>0</v>
      </c>
      <c r="H189" s="8">
        <v>0</v>
      </c>
      <c r="I189" s="8">
        <v>0</v>
      </c>
      <c r="J189" s="8">
        <v>0</v>
      </c>
      <c r="K189" s="8">
        <v>0</v>
      </c>
      <c r="L189" s="8">
        <v>0</v>
      </c>
      <c r="M189" s="8">
        <v>0</v>
      </c>
      <c r="N189" s="8">
        <v>0</v>
      </c>
      <c r="O189" s="8">
        <v>0</v>
      </c>
      <c r="P189" s="8">
        <v>0.75</v>
      </c>
      <c r="Q189" s="8">
        <v>1</v>
      </c>
      <c r="R189" s="8">
        <v>1</v>
      </c>
      <c r="S189" s="8">
        <v>0.75</v>
      </c>
      <c r="T189" s="8">
        <v>0.75</v>
      </c>
      <c r="U189" s="8">
        <v>1</v>
      </c>
      <c r="V189" s="8">
        <v>1</v>
      </c>
      <c r="W189" s="8">
        <v>1</v>
      </c>
      <c r="X189" s="8">
        <v>0.75</v>
      </c>
      <c r="Y189" s="8">
        <v>0</v>
      </c>
      <c r="Z189" s="8">
        <v>0</v>
      </c>
      <c r="AA189" s="8">
        <v>0</v>
      </c>
      <c r="AB189" s="8">
        <v>0</v>
      </c>
      <c r="AC189" s="8">
        <v>0</v>
      </c>
      <c r="AD189" s="8">
        <v>0</v>
      </c>
    </row>
    <row r="190" spans="1:30" ht="37.5" hidden="1" x14ac:dyDescent="0.25">
      <c r="A190" s="6">
        <v>1195</v>
      </c>
      <c r="B190" s="7" t="s">
        <v>288</v>
      </c>
      <c r="C190" s="7" t="s">
        <v>278</v>
      </c>
      <c r="D190" s="8">
        <v>0.34117647049411759</v>
      </c>
      <c r="E190" s="7" t="s">
        <v>289</v>
      </c>
      <c r="F190" s="7" t="str">
        <f t="shared" si="2"/>
        <v>WK1</v>
      </c>
      <c r="G190" s="8">
        <v>0</v>
      </c>
      <c r="H190" s="8">
        <v>0</v>
      </c>
      <c r="I190" s="8">
        <v>0</v>
      </c>
      <c r="J190" s="8">
        <v>0</v>
      </c>
      <c r="K190" s="8">
        <v>0</v>
      </c>
      <c r="L190" s="8">
        <v>0</v>
      </c>
      <c r="M190" s="8">
        <v>0</v>
      </c>
      <c r="N190" s="8">
        <v>0</v>
      </c>
      <c r="O190" s="8">
        <v>0</v>
      </c>
      <c r="P190" s="8">
        <v>0</v>
      </c>
      <c r="Q190" s="8">
        <v>0</v>
      </c>
      <c r="R190" s="8">
        <v>0</v>
      </c>
      <c r="S190" s="8">
        <v>0</v>
      </c>
      <c r="T190" s="8">
        <v>0</v>
      </c>
      <c r="U190" s="8">
        <v>0</v>
      </c>
      <c r="V190" s="8">
        <v>0</v>
      </c>
      <c r="W190" s="8">
        <v>0.5</v>
      </c>
      <c r="X190" s="8">
        <v>0.5</v>
      </c>
      <c r="Y190" s="8">
        <v>1</v>
      </c>
      <c r="Z190" s="8">
        <v>1</v>
      </c>
      <c r="AA190" s="8">
        <v>1</v>
      </c>
      <c r="AB190" s="8">
        <v>1</v>
      </c>
      <c r="AC190" s="8">
        <v>0.66666666699999999</v>
      </c>
      <c r="AD190" s="8">
        <v>0</v>
      </c>
    </row>
    <row r="191" spans="1:30" ht="37.5" hidden="1" x14ac:dyDescent="0.25">
      <c r="A191" s="6">
        <v>1196</v>
      </c>
      <c r="B191" s="7" t="s">
        <v>290</v>
      </c>
      <c r="C191" s="7" t="s">
        <v>278</v>
      </c>
      <c r="D191" s="8">
        <v>0.22500000000000001</v>
      </c>
      <c r="E191" s="7" t="s">
        <v>291</v>
      </c>
      <c r="F191" s="7" t="str">
        <f t="shared" si="2"/>
        <v>WK1</v>
      </c>
      <c r="G191" s="8">
        <v>0</v>
      </c>
      <c r="H191" s="8">
        <v>0</v>
      </c>
      <c r="I191" s="8">
        <v>0</v>
      </c>
      <c r="J191" s="8">
        <v>0</v>
      </c>
      <c r="K191" s="8">
        <v>0</v>
      </c>
      <c r="L191" s="8">
        <v>0</v>
      </c>
      <c r="M191" s="8">
        <v>0</v>
      </c>
      <c r="N191" s="8">
        <v>0</v>
      </c>
      <c r="O191" s="8">
        <v>0</v>
      </c>
      <c r="P191" s="8">
        <v>0.75</v>
      </c>
      <c r="Q191" s="8">
        <v>1</v>
      </c>
      <c r="R191" s="8">
        <v>1</v>
      </c>
      <c r="S191" s="8">
        <v>0.75</v>
      </c>
      <c r="T191" s="8">
        <v>0.75</v>
      </c>
      <c r="U191" s="8">
        <v>1</v>
      </c>
      <c r="V191" s="8">
        <v>1</v>
      </c>
      <c r="W191" s="8">
        <v>1</v>
      </c>
      <c r="X191" s="8">
        <v>0.75</v>
      </c>
      <c r="Y191" s="8">
        <v>0</v>
      </c>
      <c r="Z191" s="8">
        <v>0</v>
      </c>
      <c r="AA191" s="8">
        <v>0</v>
      </c>
      <c r="AB191" s="8">
        <v>0</v>
      </c>
      <c r="AC191" s="8">
        <v>0</v>
      </c>
      <c r="AD191" s="8">
        <v>0</v>
      </c>
    </row>
    <row r="192" spans="1:30" ht="37.5" hidden="1" x14ac:dyDescent="0.25">
      <c r="A192" s="6">
        <v>1197</v>
      </c>
      <c r="B192" s="7" t="s">
        <v>61</v>
      </c>
      <c r="C192" s="7" t="s">
        <v>278</v>
      </c>
      <c r="D192" s="8">
        <v>9.6250000000000002E-2</v>
      </c>
      <c r="E192" s="7" t="s">
        <v>292</v>
      </c>
      <c r="F192" s="7" t="str">
        <f t="shared" si="2"/>
        <v>Wk1</v>
      </c>
      <c r="G192" s="8">
        <v>0</v>
      </c>
      <c r="H192" s="8">
        <v>0</v>
      </c>
      <c r="I192" s="8">
        <v>0</v>
      </c>
      <c r="J192" s="8">
        <v>0</v>
      </c>
      <c r="K192" s="8">
        <v>0</v>
      </c>
      <c r="L192" s="8">
        <v>0</v>
      </c>
      <c r="M192" s="8">
        <v>0</v>
      </c>
      <c r="N192" s="8">
        <v>0</v>
      </c>
      <c r="O192" s="8">
        <v>0</v>
      </c>
      <c r="P192" s="8">
        <v>1</v>
      </c>
      <c r="Q192" s="8">
        <v>1</v>
      </c>
      <c r="R192" s="8">
        <v>1</v>
      </c>
      <c r="S192" s="8">
        <v>1</v>
      </c>
      <c r="T192" s="8">
        <v>1</v>
      </c>
      <c r="U192" s="8">
        <v>1</v>
      </c>
      <c r="V192" s="8">
        <v>1</v>
      </c>
      <c r="W192" s="8">
        <v>1</v>
      </c>
      <c r="X192" s="8">
        <v>0</v>
      </c>
      <c r="Y192" s="8">
        <v>0</v>
      </c>
      <c r="Z192" s="8">
        <v>0</v>
      </c>
      <c r="AA192" s="8">
        <v>0</v>
      </c>
      <c r="AB192" s="8">
        <v>0</v>
      </c>
      <c r="AC192" s="8">
        <v>0</v>
      </c>
      <c r="AD192" s="8">
        <v>0</v>
      </c>
    </row>
    <row r="193" spans="1:30" ht="37.5" hidden="1" x14ac:dyDescent="0.25">
      <c r="A193" s="6">
        <v>1198</v>
      </c>
      <c r="B193" s="7" t="s">
        <v>90</v>
      </c>
      <c r="C193" s="7" t="s">
        <v>278</v>
      </c>
      <c r="D193" s="8">
        <v>4.9411764705882349E-2</v>
      </c>
      <c r="E193" s="7" t="s">
        <v>293</v>
      </c>
      <c r="F193" s="7" t="str">
        <f t="shared" si="2"/>
        <v>WK1</v>
      </c>
      <c r="G193" s="8">
        <v>0</v>
      </c>
      <c r="H193" s="8">
        <v>0</v>
      </c>
      <c r="I193" s="8">
        <v>0</v>
      </c>
      <c r="J193" s="8">
        <v>0</v>
      </c>
      <c r="K193" s="8">
        <v>0</v>
      </c>
      <c r="L193" s="8">
        <v>0</v>
      </c>
      <c r="M193" s="8">
        <v>0</v>
      </c>
      <c r="N193" s="8">
        <v>0</v>
      </c>
      <c r="O193" s="8">
        <v>0</v>
      </c>
      <c r="P193" s="8">
        <v>0</v>
      </c>
      <c r="Q193" s="8">
        <v>0</v>
      </c>
      <c r="R193" s="8">
        <v>0</v>
      </c>
      <c r="S193" s="8">
        <v>0</v>
      </c>
      <c r="T193" s="8">
        <v>0</v>
      </c>
      <c r="U193" s="8">
        <v>0</v>
      </c>
      <c r="V193" s="8">
        <v>0</v>
      </c>
      <c r="W193" s="8">
        <v>0.5</v>
      </c>
      <c r="X193" s="8">
        <v>0.5</v>
      </c>
      <c r="Y193" s="8">
        <v>1</v>
      </c>
      <c r="Z193" s="8">
        <v>1</v>
      </c>
      <c r="AA193" s="8">
        <v>1</v>
      </c>
      <c r="AB193" s="8">
        <v>1</v>
      </c>
      <c r="AC193" s="8">
        <v>0.66666666699999999</v>
      </c>
      <c r="AD193" s="8">
        <v>0</v>
      </c>
    </row>
    <row r="194" spans="1:30" ht="37.5" hidden="1" x14ac:dyDescent="0.25">
      <c r="A194" s="6">
        <v>1199</v>
      </c>
      <c r="B194" s="7" t="s">
        <v>47</v>
      </c>
      <c r="C194" s="7" t="s">
        <v>278</v>
      </c>
      <c r="D194" s="8">
        <v>0.11</v>
      </c>
      <c r="E194" s="7" t="s">
        <v>294</v>
      </c>
      <c r="F194" s="7" t="str">
        <f t="shared" si="2"/>
        <v>WK1</v>
      </c>
      <c r="G194" s="8">
        <v>0</v>
      </c>
      <c r="H194" s="8">
        <v>0</v>
      </c>
      <c r="I194" s="8">
        <v>0</v>
      </c>
      <c r="J194" s="8">
        <v>0</v>
      </c>
      <c r="K194" s="8">
        <v>0</v>
      </c>
      <c r="L194" s="8">
        <v>0</v>
      </c>
      <c r="M194" s="8">
        <v>0</v>
      </c>
      <c r="N194" s="8">
        <v>0</v>
      </c>
      <c r="O194" s="8">
        <v>0</v>
      </c>
      <c r="P194" s="8">
        <v>0</v>
      </c>
      <c r="Q194" s="8">
        <v>0</v>
      </c>
      <c r="R194" s="8">
        <v>0</v>
      </c>
      <c r="S194" s="8">
        <v>0</v>
      </c>
      <c r="T194" s="8">
        <v>0</v>
      </c>
      <c r="U194" s="8">
        <v>0</v>
      </c>
      <c r="V194" s="8">
        <v>0</v>
      </c>
      <c r="W194" s="8">
        <v>0</v>
      </c>
      <c r="X194" s="8">
        <v>0</v>
      </c>
      <c r="Y194" s="8">
        <v>0</v>
      </c>
      <c r="Z194" s="8">
        <v>0</v>
      </c>
      <c r="AA194" s="8">
        <v>0</v>
      </c>
      <c r="AB194" s="8">
        <v>0</v>
      </c>
      <c r="AC194" s="8">
        <v>0</v>
      </c>
      <c r="AD194" s="8">
        <v>0</v>
      </c>
    </row>
    <row r="195" spans="1:30" ht="37.5" hidden="1" x14ac:dyDescent="0.25">
      <c r="A195" s="6">
        <v>1200</v>
      </c>
      <c r="B195" s="7" t="s">
        <v>295</v>
      </c>
      <c r="C195" s="7" t="s">
        <v>278</v>
      </c>
      <c r="D195" s="8">
        <v>0.24117647058151262</v>
      </c>
      <c r="E195" s="7" t="s">
        <v>296</v>
      </c>
      <c r="F195" s="7" t="str">
        <f t="shared" si="2"/>
        <v>Wk1</v>
      </c>
      <c r="G195" s="8">
        <v>0</v>
      </c>
      <c r="H195" s="8">
        <v>0</v>
      </c>
      <c r="I195" s="8">
        <v>0</v>
      </c>
      <c r="J195" s="8">
        <v>0</v>
      </c>
      <c r="K195" s="8">
        <v>0</v>
      </c>
      <c r="L195" s="8">
        <v>0</v>
      </c>
      <c r="M195" s="8">
        <v>0</v>
      </c>
      <c r="N195" s="8">
        <v>0</v>
      </c>
      <c r="O195" s="8">
        <v>0</v>
      </c>
      <c r="P195" s="8">
        <v>0</v>
      </c>
      <c r="Q195" s="8">
        <v>0</v>
      </c>
      <c r="R195" s="8">
        <v>0</v>
      </c>
      <c r="S195" s="8">
        <v>0</v>
      </c>
      <c r="T195" s="8">
        <v>0</v>
      </c>
      <c r="U195" s="8">
        <v>0</v>
      </c>
      <c r="V195" s="8">
        <v>0</v>
      </c>
      <c r="W195" s="8">
        <v>0.5</v>
      </c>
      <c r="X195" s="8">
        <v>0.5</v>
      </c>
      <c r="Y195" s="8">
        <v>1</v>
      </c>
      <c r="Z195" s="8">
        <v>1</v>
      </c>
      <c r="AA195" s="8">
        <v>1</v>
      </c>
      <c r="AB195" s="8">
        <v>1</v>
      </c>
      <c r="AC195" s="8">
        <v>0.66666666699999999</v>
      </c>
      <c r="AD195" s="8">
        <v>0</v>
      </c>
    </row>
    <row r="196" spans="1:30" ht="37.5" hidden="1" x14ac:dyDescent="0.25">
      <c r="A196" s="6">
        <v>1201</v>
      </c>
      <c r="B196" s="7" t="s">
        <v>45</v>
      </c>
      <c r="C196" s="7" t="s">
        <v>278</v>
      </c>
      <c r="D196" s="8">
        <v>0.12558333332875005</v>
      </c>
      <c r="E196" s="7" t="s">
        <v>297</v>
      </c>
      <c r="F196" s="7" t="str">
        <f t="shared" si="2"/>
        <v>WK1</v>
      </c>
      <c r="G196" s="8">
        <v>0</v>
      </c>
      <c r="H196" s="8">
        <v>0</v>
      </c>
      <c r="I196" s="8">
        <v>0</v>
      </c>
      <c r="J196" s="8">
        <v>0</v>
      </c>
      <c r="K196" s="8">
        <v>0</v>
      </c>
      <c r="L196" s="8">
        <v>0</v>
      </c>
      <c r="M196" s="8">
        <v>0</v>
      </c>
      <c r="N196" s="8">
        <v>0</v>
      </c>
      <c r="O196" s="8">
        <v>0</v>
      </c>
      <c r="P196" s="8">
        <v>0.75</v>
      </c>
      <c r="Q196" s="8">
        <v>1</v>
      </c>
      <c r="R196" s="8">
        <v>1</v>
      </c>
      <c r="S196" s="8">
        <v>0.75</v>
      </c>
      <c r="T196" s="8">
        <v>0.75</v>
      </c>
      <c r="U196" s="8">
        <v>1</v>
      </c>
      <c r="V196" s="8">
        <v>1</v>
      </c>
      <c r="W196" s="8">
        <v>1</v>
      </c>
      <c r="X196" s="8">
        <v>0.75</v>
      </c>
      <c r="Y196" s="8">
        <v>0</v>
      </c>
      <c r="Z196" s="8">
        <v>0</v>
      </c>
      <c r="AA196" s="8">
        <v>0</v>
      </c>
      <c r="AB196" s="8">
        <v>0</v>
      </c>
      <c r="AC196" s="8">
        <v>0</v>
      </c>
      <c r="AD196" s="8">
        <v>0</v>
      </c>
    </row>
    <row r="197" spans="1:30" ht="37.5" hidden="1" x14ac:dyDescent="0.25">
      <c r="A197" s="6">
        <v>1202</v>
      </c>
      <c r="B197" s="7" t="s">
        <v>298</v>
      </c>
      <c r="C197" s="7" t="s">
        <v>278</v>
      </c>
      <c r="D197" s="8">
        <v>0.10225352112676059</v>
      </c>
      <c r="E197" s="7" t="s">
        <v>299</v>
      </c>
      <c r="F197" s="7" t="str">
        <f t="shared" si="2"/>
        <v>WK1</v>
      </c>
      <c r="G197" s="8">
        <v>0</v>
      </c>
      <c r="H197" s="8">
        <v>0</v>
      </c>
      <c r="I197" s="8">
        <v>0</v>
      </c>
      <c r="J197" s="8">
        <v>0</v>
      </c>
      <c r="K197" s="8">
        <v>0</v>
      </c>
      <c r="L197" s="8">
        <v>0</v>
      </c>
      <c r="M197" s="8">
        <v>0</v>
      </c>
      <c r="N197" s="8">
        <v>0.1</v>
      </c>
      <c r="O197" s="8">
        <v>0.25</v>
      </c>
      <c r="P197" s="8">
        <v>0.75</v>
      </c>
      <c r="Q197" s="8">
        <v>1</v>
      </c>
      <c r="R197" s="8">
        <v>1</v>
      </c>
      <c r="S197" s="8">
        <v>0.5</v>
      </c>
      <c r="T197" s="8">
        <v>0.5</v>
      </c>
      <c r="U197" s="8">
        <v>1</v>
      </c>
      <c r="V197" s="8">
        <v>1</v>
      </c>
      <c r="W197" s="8">
        <v>0.5</v>
      </c>
      <c r="X197" s="8">
        <v>0.5</v>
      </c>
      <c r="Y197" s="8">
        <v>0</v>
      </c>
      <c r="Z197" s="8">
        <v>0</v>
      </c>
      <c r="AA197" s="8">
        <v>0</v>
      </c>
      <c r="AB197" s="8">
        <v>0</v>
      </c>
      <c r="AC197" s="8">
        <v>0</v>
      </c>
      <c r="AD197" s="8">
        <v>0</v>
      </c>
    </row>
    <row r="198" spans="1:30" ht="37.5" hidden="1" x14ac:dyDescent="0.25">
      <c r="A198" s="6">
        <v>1203</v>
      </c>
      <c r="B198" s="7" t="s">
        <v>38</v>
      </c>
      <c r="C198" s="7" t="s">
        <v>278</v>
      </c>
      <c r="D198" s="8">
        <v>0.11</v>
      </c>
      <c r="E198" s="7" t="s">
        <v>300</v>
      </c>
      <c r="F198" s="7" t="str">
        <f t="shared" si="2"/>
        <v>WK1</v>
      </c>
      <c r="G198" s="8">
        <v>0</v>
      </c>
      <c r="H198" s="8">
        <v>0</v>
      </c>
      <c r="I198" s="8">
        <v>0</v>
      </c>
      <c r="J198" s="8">
        <v>0</v>
      </c>
      <c r="K198" s="8">
        <v>0</v>
      </c>
      <c r="L198" s="8">
        <v>0</v>
      </c>
      <c r="M198" s="8">
        <v>0</v>
      </c>
      <c r="N198" s="8">
        <v>1</v>
      </c>
      <c r="O198" s="8">
        <v>1</v>
      </c>
      <c r="P198" s="8">
        <v>1</v>
      </c>
      <c r="Q198" s="8">
        <v>1</v>
      </c>
      <c r="R198" s="8">
        <v>1</v>
      </c>
      <c r="S198" s="8">
        <v>1</v>
      </c>
      <c r="T198" s="8">
        <v>1</v>
      </c>
      <c r="U198" s="8">
        <v>1</v>
      </c>
      <c r="V198" s="8">
        <v>1</v>
      </c>
      <c r="W198" s="8">
        <v>1</v>
      </c>
      <c r="X198" s="8">
        <v>1</v>
      </c>
      <c r="Y198" s="8">
        <v>1</v>
      </c>
      <c r="Z198" s="8">
        <v>1</v>
      </c>
      <c r="AA198" s="8">
        <v>0</v>
      </c>
      <c r="AB198" s="8">
        <v>0</v>
      </c>
      <c r="AC198" s="8">
        <v>0</v>
      </c>
      <c r="AD198" s="8">
        <v>0</v>
      </c>
    </row>
    <row r="199" spans="1:30" ht="37.5" hidden="1" x14ac:dyDescent="0.25">
      <c r="A199" s="6">
        <v>1204</v>
      </c>
      <c r="B199" s="7" t="s">
        <v>78</v>
      </c>
      <c r="C199" s="7" t="s">
        <v>278</v>
      </c>
      <c r="D199" s="8">
        <v>0.16305341055297301</v>
      </c>
      <c r="E199" s="7" t="s">
        <v>301</v>
      </c>
      <c r="F199" s="7" t="str">
        <f t="shared" si="2"/>
        <v>WK1</v>
      </c>
      <c r="G199" s="8">
        <v>0</v>
      </c>
      <c r="H199" s="8">
        <v>0</v>
      </c>
      <c r="I199" s="8">
        <v>0</v>
      </c>
      <c r="J199" s="8">
        <v>0</v>
      </c>
      <c r="K199" s="8">
        <v>0</v>
      </c>
      <c r="L199" s="8">
        <v>0</v>
      </c>
      <c r="M199" s="8">
        <v>0</v>
      </c>
      <c r="N199" s="8">
        <v>0</v>
      </c>
      <c r="O199" s="8">
        <v>0</v>
      </c>
      <c r="P199" s="8">
        <v>1</v>
      </c>
      <c r="Q199" s="8">
        <v>1</v>
      </c>
      <c r="R199" s="8">
        <v>1</v>
      </c>
      <c r="S199" s="8">
        <v>1</v>
      </c>
      <c r="T199" s="8">
        <v>1</v>
      </c>
      <c r="U199" s="8">
        <v>1</v>
      </c>
      <c r="V199" s="8">
        <v>1</v>
      </c>
      <c r="W199" s="8">
        <v>1</v>
      </c>
      <c r="X199" s="8">
        <v>1</v>
      </c>
      <c r="Y199" s="8">
        <v>1</v>
      </c>
      <c r="Z199" s="8">
        <v>1</v>
      </c>
      <c r="AA199" s="8">
        <v>1</v>
      </c>
      <c r="AB199" s="8">
        <v>0</v>
      </c>
      <c r="AC199" s="8">
        <v>0</v>
      </c>
      <c r="AD199" s="8">
        <v>0</v>
      </c>
    </row>
    <row r="200" spans="1:30" ht="37.5" hidden="1" x14ac:dyDescent="0.25">
      <c r="A200" s="8">
        <v>1204</v>
      </c>
      <c r="B200" s="7" t="s">
        <v>78</v>
      </c>
      <c r="C200" s="7" t="s">
        <v>278</v>
      </c>
      <c r="D200" s="8">
        <v>0.16305341055297301</v>
      </c>
      <c r="E200" s="7" t="s">
        <v>302</v>
      </c>
      <c r="F200" s="7" t="str">
        <f t="shared" si="2"/>
        <v>Wk2</v>
      </c>
      <c r="G200" s="8">
        <v>0</v>
      </c>
      <c r="H200" s="8">
        <v>0</v>
      </c>
      <c r="I200" s="8">
        <v>0</v>
      </c>
      <c r="J200" s="8">
        <v>0</v>
      </c>
      <c r="K200" s="8">
        <v>0</v>
      </c>
      <c r="L200" s="8">
        <v>0</v>
      </c>
      <c r="M200" s="8">
        <v>0</v>
      </c>
      <c r="N200" s="8">
        <v>1</v>
      </c>
      <c r="O200" s="8">
        <v>1</v>
      </c>
      <c r="P200" s="8">
        <v>1</v>
      </c>
      <c r="Q200" s="8">
        <v>1</v>
      </c>
      <c r="R200" s="8">
        <v>1</v>
      </c>
      <c r="S200" s="8">
        <v>1</v>
      </c>
      <c r="T200" s="8">
        <v>1</v>
      </c>
      <c r="U200" s="8">
        <v>1</v>
      </c>
      <c r="V200" s="8">
        <v>1</v>
      </c>
      <c r="W200" s="8">
        <v>1</v>
      </c>
      <c r="X200" s="8">
        <v>1</v>
      </c>
      <c r="Y200" s="8">
        <v>1</v>
      </c>
      <c r="Z200" s="8">
        <v>1</v>
      </c>
      <c r="AA200" s="8">
        <v>0</v>
      </c>
      <c r="AB200" s="8">
        <v>0</v>
      </c>
      <c r="AC200" s="8">
        <v>0</v>
      </c>
      <c r="AD200" s="8">
        <v>0</v>
      </c>
    </row>
    <row r="201" spans="1:30" ht="37.5" hidden="1" x14ac:dyDescent="0.25">
      <c r="A201" s="6">
        <v>1205</v>
      </c>
      <c r="B201" s="7" t="s">
        <v>43</v>
      </c>
      <c r="C201" s="7" t="s">
        <v>278</v>
      </c>
      <c r="D201" s="8">
        <v>0.10083333333333336</v>
      </c>
      <c r="E201" s="7" t="s">
        <v>303</v>
      </c>
      <c r="F201" s="7" t="str">
        <f t="shared" si="2"/>
        <v>WK1</v>
      </c>
      <c r="G201" s="8">
        <v>0</v>
      </c>
      <c r="H201" s="8">
        <v>0</v>
      </c>
      <c r="I201" s="8">
        <v>0</v>
      </c>
      <c r="J201" s="8">
        <v>0</v>
      </c>
      <c r="K201" s="8">
        <v>0</v>
      </c>
      <c r="L201" s="8">
        <v>0</v>
      </c>
      <c r="M201" s="8">
        <v>0</v>
      </c>
      <c r="N201" s="8">
        <v>0</v>
      </c>
      <c r="O201" s="8">
        <v>0</v>
      </c>
      <c r="P201" s="8">
        <v>1</v>
      </c>
      <c r="Q201" s="8">
        <v>1</v>
      </c>
      <c r="R201" s="8">
        <v>1</v>
      </c>
      <c r="S201" s="8">
        <v>1</v>
      </c>
      <c r="T201" s="8">
        <v>1</v>
      </c>
      <c r="U201" s="8">
        <v>1</v>
      </c>
      <c r="V201" s="8">
        <v>1</v>
      </c>
      <c r="W201" s="8">
        <v>1</v>
      </c>
      <c r="X201" s="8">
        <v>1</v>
      </c>
      <c r="Y201" s="8">
        <v>1</v>
      </c>
      <c r="Z201" s="8">
        <v>1</v>
      </c>
      <c r="AA201" s="8">
        <v>1</v>
      </c>
      <c r="AB201" s="8">
        <v>0</v>
      </c>
      <c r="AC201" s="8">
        <v>0</v>
      </c>
      <c r="AD201" s="8">
        <v>0</v>
      </c>
    </row>
    <row r="202" spans="1:30" ht="37.5" hidden="1" x14ac:dyDescent="0.25">
      <c r="A202" s="6">
        <v>1206</v>
      </c>
      <c r="B202" s="7" t="s">
        <v>59</v>
      </c>
      <c r="C202" s="7" t="s">
        <v>278</v>
      </c>
      <c r="D202" s="8">
        <v>6.7083333336250009E-2</v>
      </c>
      <c r="E202" s="7" t="s">
        <v>304</v>
      </c>
      <c r="F202" s="7" t="str">
        <f t="shared" ref="F202:F265" si="3">RIGHT(E202,3)</f>
        <v>WK1</v>
      </c>
      <c r="G202" s="8">
        <v>0</v>
      </c>
      <c r="H202" s="8">
        <v>0</v>
      </c>
      <c r="I202" s="8">
        <v>0</v>
      </c>
      <c r="J202" s="8">
        <v>0</v>
      </c>
      <c r="K202" s="8">
        <v>0</v>
      </c>
      <c r="L202" s="8">
        <v>0</v>
      </c>
      <c r="M202" s="8">
        <v>0</v>
      </c>
      <c r="N202" s="8">
        <v>0</v>
      </c>
      <c r="O202" s="8">
        <v>0</v>
      </c>
      <c r="P202" s="8">
        <v>0.75</v>
      </c>
      <c r="Q202" s="8">
        <v>1</v>
      </c>
      <c r="R202" s="8">
        <v>1</v>
      </c>
      <c r="S202" s="8">
        <v>0.75</v>
      </c>
      <c r="T202" s="8">
        <v>0.75</v>
      </c>
      <c r="U202" s="8">
        <v>1</v>
      </c>
      <c r="V202" s="8">
        <v>1</v>
      </c>
      <c r="W202" s="8">
        <v>1</v>
      </c>
      <c r="X202" s="8">
        <v>0.75</v>
      </c>
      <c r="Y202" s="8">
        <v>0</v>
      </c>
      <c r="Z202" s="8">
        <v>0</v>
      </c>
      <c r="AA202" s="8">
        <v>0</v>
      </c>
      <c r="AB202" s="8">
        <v>0</v>
      </c>
      <c r="AC202" s="8">
        <v>0</v>
      </c>
      <c r="AD202" s="8">
        <v>0</v>
      </c>
    </row>
    <row r="203" spans="1:30" ht="37.5" hidden="1" x14ac:dyDescent="0.25">
      <c r="A203" s="6">
        <v>1207</v>
      </c>
      <c r="B203" s="7" t="s">
        <v>49</v>
      </c>
      <c r="C203" s="7" t="s">
        <v>278</v>
      </c>
      <c r="D203" s="8">
        <v>0.11647183098591547</v>
      </c>
      <c r="E203" s="7" t="s">
        <v>305</v>
      </c>
      <c r="F203" s="7" t="str">
        <f t="shared" si="3"/>
        <v>WK1</v>
      </c>
      <c r="G203" s="8">
        <v>0</v>
      </c>
      <c r="H203" s="8">
        <v>0</v>
      </c>
      <c r="I203" s="8">
        <v>0</v>
      </c>
      <c r="J203" s="8">
        <v>0</v>
      </c>
      <c r="K203" s="8">
        <v>0</v>
      </c>
      <c r="L203" s="8">
        <v>0</v>
      </c>
      <c r="M203" s="8">
        <v>0</v>
      </c>
      <c r="N203" s="8">
        <v>0.1</v>
      </c>
      <c r="O203" s="8">
        <v>0.25</v>
      </c>
      <c r="P203" s="8">
        <v>0.75</v>
      </c>
      <c r="Q203" s="8">
        <v>1</v>
      </c>
      <c r="R203" s="8">
        <v>1</v>
      </c>
      <c r="S203" s="8">
        <v>0.5</v>
      </c>
      <c r="T203" s="8">
        <v>0.5</v>
      </c>
      <c r="U203" s="8">
        <v>1</v>
      </c>
      <c r="V203" s="8">
        <v>1</v>
      </c>
      <c r="W203" s="8">
        <v>0.5</v>
      </c>
      <c r="X203" s="8">
        <v>0.5</v>
      </c>
      <c r="Y203" s="8">
        <v>0</v>
      </c>
      <c r="Z203" s="8">
        <v>0</v>
      </c>
      <c r="AA203" s="8">
        <v>0</v>
      </c>
      <c r="AB203" s="8">
        <v>0</v>
      </c>
      <c r="AC203" s="8">
        <v>0</v>
      </c>
      <c r="AD203" s="8">
        <v>0</v>
      </c>
    </row>
    <row r="204" spans="1:30" ht="37.5" hidden="1" x14ac:dyDescent="0.25">
      <c r="A204" s="6">
        <v>1208</v>
      </c>
      <c r="B204" s="7" t="s">
        <v>53</v>
      </c>
      <c r="C204" s="7" t="s">
        <v>306</v>
      </c>
      <c r="D204" s="8">
        <v>0.14138686131386857</v>
      </c>
      <c r="E204" s="7" t="s">
        <v>307</v>
      </c>
      <c r="F204" s="7" t="str">
        <f t="shared" si="3"/>
        <v>WK1</v>
      </c>
      <c r="G204" s="8">
        <v>0</v>
      </c>
      <c r="H204" s="8">
        <v>0</v>
      </c>
      <c r="I204" s="8">
        <v>0</v>
      </c>
      <c r="J204" s="8">
        <v>0</v>
      </c>
      <c r="K204" s="8">
        <v>0</v>
      </c>
      <c r="L204" s="8">
        <v>0</v>
      </c>
      <c r="M204" s="8">
        <v>0</v>
      </c>
      <c r="N204" s="8">
        <v>0.1</v>
      </c>
      <c r="O204" s="8">
        <v>0.25</v>
      </c>
      <c r="P204" s="8">
        <v>0.75</v>
      </c>
      <c r="Q204" s="8">
        <v>1</v>
      </c>
      <c r="R204" s="8">
        <v>1</v>
      </c>
      <c r="S204" s="8">
        <v>0.5</v>
      </c>
      <c r="T204" s="8">
        <v>0.5</v>
      </c>
      <c r="U204" s="8">
        <v>1</v>
      </c>
      <c r="V204" s="8">
        <v>1</v>
      </c>
      <c r="W204" s="8">
        <v>0.5</v>
      </c>
      <c r="X204" s="8">
        <v>0.5</v>
      </c>
      <c r="Y204" s="8">
        <v>0</v>
      </c>
      <c r="Z204" s="8">
        <v>0</v>
      </c>
      <c r="AA204" s="8">
        <v>0</v>
      </c>
      <c r="AB204" s="8">
        <v>0</v>
      </c>
      <c r="AC204" s="8">
        <v>0</v>
      </c>
      <c r="AD204" s="8">
        <v>0</v>
      </c>
    </row>
    <row r="205" spans="1:30" ht="37.5" hidden="1" x14ac:dyDescent="0.25">
      <c r="A205" s="8">
        <v>1208</v>
      </c>
      <c r="B205" s="7" t="s">
        <v>53</v>
      </c>
      <c r="C205" s="7" t="s">
        <v>306</v>
      </c>
      <c r="D205" s="8">
        <v>0.14138686131386857</v>
      </c>
      <c r="E205" s="7" t="s">
        <v>308</v>
      </c>
      <c r="F205" s="7" t="str">
        <f t="shared" si="3"/>
        <v>Wk2</v>
      </c>
      <c r="G205" s="8">
        <v>0</v>
      </c>
      <c r="H205" s="8">
        <v>0</v>
      </c>
      <c r="I205" s="8">
        <v>0</v>
      </c>
      <c r="J205" s="8">
        <v>0</v>
      </c>
      <c r="K205" s="8">
        <v>0</v>
      </c>
      <c r="L205" s="8">
        <v>0</v>
      </c>
      <c r="M205" s="8">
        <v>0</v>
      </c>
      <c r="N205" s="8">
        <v>0</v>
      </c>
      <c r="O205" s="8">
        <v>0</v>
      </c>
      <c r="P205" s="8">
        <v>0.5</v>
      </c>
      <c r="Q205" s="8">
        <v>1</v>
      </c>
      <c r="R205" s="8">
        <v>1</v>
      </c>
      <c r="S205" s="8">
        <v>1</v>
      </c>
      <c r="T205" s="8">
        <v>0.75</v>
      </c>
      <c r="U205" s="8">
        <v>1</v>
      </c>
      <c r="V205" s="8">
        <v>0.75</v>
      </c>
      <c r="W205" s="8">
        <v>0</v>
      </c>
      <c r="X205" s="8">
        <v>0</v>
      </c>
      <c r="Y205" s="8">
        <v>0</v>
      </c>
      <c r="Z205" s="8">
        <v>0</v>
      </c>
      <c r="AA205" s="8">
        <v>0</v>
      </c>
      <c r="AB205" s="8">
        <v>0</v>
      </c>
      <c r="AC205" s="8">
        <v>0</v>
      </c>
      <c r="AD205" s="8">
        <v>0</v>
      </c>
    </row>
    <row r="206" spans="1:30" ht="50" hidden="1" x14ac:dyDescent="0.25">
      <c r="A206" s="6">
        <v>1209</v>
      </c>
      <c r="B206" s="7" t="s">
        <v>41</v>
      </c>
      <c r="C206" s="7" t="s">
        <v>306</v>
      </c>
      <c r="D206" s="8">
        <v>0.11</v>
      </c>
      <c r="E206" s="7" t="s">
        <v>309</v>
      </c>
      <c r="F206" s="7" t="str">
        <f t="shared" si="3"/>
        <v>WK1</v>
      </c>
      <c r="G206" s="8">
        <v>0</v>
      </c>
      <c r="H206" s="8">
        <v>0</v>
      </c>
      <c r="I206" s="8">
        <v>0</v>
      </c>
      <c r="J206" s="8">
        <v>0</v>
      </c>
      <c r="K206" s="8">
        <v>0</v>
      </c>
      <c r="L206" s="8">
        <v>0</v>
      </c>
      <c r="M206" s="8">
        <v>0</v>
      </c>
      <c r="N206" s="8">
        <v>0.25</v>
      </c>
      <c r="O206" s="8">
        <v>0.5</v>
      </c>
      <c r="P206" s="8">
        <v>1</v>
      </c>
      <c r="Q206" s="8">
        <v>1</v>
      </c>
      <c r="R206" s="8">
        <v>1</v>
      </c>
      <c r="S206" s="8">
        <v>0.75</v>
      </c>
      <c r="T206" s="8">
        <v>0.75</v>
      </c>
      <c r="U206" s="8">
        <v>1</v>
      </c>
      <c r="V206" s="8">
        <v>1</v>
      </c>
      <c r="W206" s="8">
        <v>1</v>
      </c>
      <c r="X206" s="8">
        <v>0.5</v>
      </c>
      <c r="Y206" s="8">
        <v>0.25</v>
      </c>
      <c r="Z206" s="8">
        <v>0</v>
      </c>
      <c r="AA206" s="8">
        <v>0</v>
      </c>
      <c r="AB206" s="8">
        <v>0</v>
      </c>
      <c r="AC206" s="8">
        <v>0</v>
      </c>
      <c r="AD206" s="8">
        <v>0</v>
      </c>
    </row>
    <row r="207" spans="1:30" ht="50" hidden="1" x14ac:dyDescent="0.25">
      <c r="A207" s="8">
        <v>1209</v>
      </c>
      <c r="B207" s="7" t="s">
        <v>41</v>
      </c>
      <c r="C207" s="7" t="s">
        <v>306</v>
      </c>
      <c r="D207" s="8">
        <v>0.11</v>
      </c>
      <c r="E207" s="7" t="s">
        <v>310</v>
      </c>
      <c r="F207" s="7" t="str">
        <f t="shared" si="3"/>
        <v>Wk2</v>
      </c>
      <c r="G207" s="8">
        <v>0</v>
      </c>
      <c r="H207" s="8">
        <v>0</v>
      </c>
      <c r="I207" s="8">
        <v>0</v>
      </c>
      <c r="J207" s="8">
        <v>0</v>
      </c>
      <c r="K207" s="8">
        <v>0</v>
      </c>
      <c r="L207" s="8">
        <v>0</v>
      </c>
      <c r="M207" s="8">
        <v>0</v>
      </c>
      <c r="N207" s="8">
        <v>0</v>
      </c>
      <c r="O207" s="8">
        <v>0</v>
      </c>
      <c r="P207" s="8">
        <v>0</v>
      </c>
      <c r="Q207" s="8">
        <v>0</v>
      </c>
      <c r="R207" s="8">
        <v>0</v>
      </c>
      <c r="S207" s="8">
        <v>0</v>
      </c>
      <c r="T207" s="8">
        <v>0</v>
      </c>
      <c r="U207" s="8">
        <v>0</v>
      </c>
      <c r="V207" s="8">
        <v>0</v>
      </c>
      <c r="W207" s="8">
        <v>0</v>
      </c>
      <c r="X207" s="8">
        <v>0</v>
      </c>
      <c r="Y207" s="8">
        <v>0</v>
      </c>
      <c r="Z207" s="8">
        <v>0</v>
      </c>
      <c r="AA207" s="8">
        <v>0</v>
      </c>
      <c r="AB207" s="8">
        <v>0</v>
      </c>
      <c r="AC207" s="8">
        <v>0</v>
      </c>
      <c r="AD207" s="8">
        <v>0</v>
      </c>
    </row>
    <row r="208" spans="1:30" ht="50" hidden="1" x14ac:dyDescent="0.25">
      <c r="A208" s="6">
        <v>1210</v>
      </c>
      <c r="B208" s="7" t="s">
        <v>80</v>
      </c>
      <c r="C208" s="7" t="s">
        <v>306</v>
      </c>
      <c r="D208" s="8">
        <v>5.2724358974358988E-2</v>
      </c>
      <c r="E208" s="7" t="s">
        <v>311</v>
      </c>
      <c r="F208" s="7" t="str">
        <f t="shared" si="3"/>
        <v>WK1</v>
      </c>
      <c r="G208" s="8">
        <v>0</v>
      </c>
      <c r="H208" s="8">
        <v>0</v>
      </c>
      <c r="I208" s="8">
        <v>0</v>
      </c>
      <c r="J208" s="8">
        <v>0</v>
      </c>
      <c r="K208" s="8">
        <v>0</v>
      </c>
      <c r="L208" s="8">
        <v>0</v>
      </c>
      <c r="M208" s="8">
        <v>0</v>
      </c>
      <c r="N208" s="8">
        <v>0.25</v>
      </c>
      <c r="O208" s="8">
        <v>0.5</v>
      </c>
      <c r="P208" s="8">
        <v>1</v>
      </c>
      <c r="Q208" s="8">
        <v>1</v>
      </c>
      <c r="R208" s="8">
        <v>1</v>
      </c>
      <c r="S208" s="8">
        <v>0.75</v>
      </c>
      <c r="T208" s="8">
        <v>0.75</v>
      </c>
      <c r="U208" s="8">
        <v>1</v>
      </c>
      <c r="V208" s="8">
        <v>1</v>
      </c>
      <c r="W208" s="8">
        <v>1</v>
      </c>
      <c r="X208" s="8">
        <v>0.5</v>
      </c>
      <c r="Y208" s="8">
        <v>0.25</v>
      </c>
      <c r="Z208" s="8">
        <v>0</v>
      </c>
      <c r="AA208" s="8">
        <v>0</v>
      </c>
      <c r="AB208" s="8">
        <v>0</v>
      </c>
      <c r="AC208" s="8">
        <v>0</v>
      </c>
      <c r="AD208" s="8">
        <v>0</v>
      </c>
    </row>
    <row r="209" spans="1:30" ht="50" hidden="1" x14ac:dyDescent="0.25">
      <c r="A209" s="8">
        <v>1210</v>
      </c>
      <c r="B209" s="7" t="s">
        <v>80</v>
      </c>
      <c r="C209" s="7" t="s">
        <v>306</v>
      </c>
      <c r="D209" s="8">
        <v>5.2724358974358988E-2</v>
      </c>
      <c r="E209" s="7" t="s">
        <v>312</v>
      </c>
      <c r="F209" s="7" t="str">
        <f t="shared" si="3"/>
        <v>Wk2</v>
      </c>
      <c r="G209" s="8">
        <v>0</v>
      </c>
      <c r="H209" s="8">
        <v>0</v>
      </c>
      <c r="I209" s="8">
        <v>0</v>
      </c>
      <c r="J209" s="8">
        <v>0</v>
      </c>
      <c r="K209" s="8">
        <v>0</v>
      </c>
      <c r="L209" s="8">
        <v>0</v>
      </c>
      <c r="M209" s="8">
        <v>0</v>
      </c>
      <c r="N209" s="8">
        <v>0</v>
      </c>
      <c r="O209" s="8">
        <v>0</v>
      </c>
      <c r="P209" s="8">
        <v>0.5</v>
      </c>
      <c r="Q209" s="8">
        <v>1</v>
      </c>
      <c r="R209" s="8">
        <v>1</v>
      </c>
      <c r="S209" s="8">
        <v>1</v>
      </c>
      <c r="T209" s="8">
        <v>0.75</v>
      </c>
      <c r="U209" s="8">
        <v>1</v>
      </c>
      <c r="V209" s="8">
        <v>0.75</v>
      </c>
      <c r="W209" s="8">
        <v>0</v>
      </c>
      <c r="X209" s="8">
        <v>0</v>
      </c>
      <c r="Y209" s="8">
        <v>0</v>
      </c>
      <c r="Z209" s="8">
        <v>0</v>
      </c>
      <c r="AA209" s="8">
        <v>0</v>
      </c>
      <c r="AB209" s="8">
        <v>0</v>
      </c>
      <c r="AC209" s="8">
        <v>0</v>
      </c>
      <c r="AD209" s="8">
        <v>0</v>
      </c>
    </row>
    <row r="210" spans="1:30" ht="37.5" x14ac:dyDescent="0.25">
      <c r="A210" s="6">
        <v>1211</v>
      </c>
      <c r="B210" s="7" t="s">
        <v>57</v>
      </c>
      <c r="C210" s="7" t="s">
        <v>306</v>
      </c>
      <c r="D210" s="8">
        <v>0.2</v>
      </c>
      <c r="E210" s="7" t="s">
        <v>313</v>
      </c>
      <c r="F210" s="7" t="str">
        <f t="shared" si="3"/>
        <v>WK1</v>
      </c>
      <c r="G210" s="8">
        <v>0</v>
      </c>
      <c r="H210" s="8">
        <v>0</v>
      </c>
      <c r="I210" s="8">
        <v>0</v>
      </c>
      <c r="J210" s="8">
        <v>0</v>
      </c>
      <c r="K210" s="8">
        <v>0</v>
      </c>
      <c r="L210" s="8">
        <v>0</v>
      </c>
      <c r="M210" s="8">
        <v>0</v>
      </c>
      <c r="N210" s="8">
        <v>0</v>
      </c>
      <c r="O210" s="8">
        <v>0</v>
      </c>
      <c r="P210" s="8">
        <v>0</v>
      </c>
      <c r="Q210" s="8">
        <v>0</v>
      </c>
      <c r="R210" s="8">
        <v>0.25</v>
      </c>
      <c r="S210" s="8">
        <v>1</v>
      </c>
      <c r="T210" s="8">
        <v>1</v>
      </c>
      <c r="U210" s="8">
        <v>0.75</v>
      </c>
      <c r="V210" s="8">
        <v>0</v>
      </c>
      <c r="W210" s="8">
        <v>0</v>
      </c>
      <c r="X210" s="8">
        <v>0</v>
      </c>
      <c r="Y210" s="8">
        <v>0</v>
      </c>
      <c r="Z210" s="8">
        <v>0</v>
      </c>
      <c r="AA210" s="8">
        <v>0</v>
      </c>
      <c r="AB210" s="8">
        <v>0</v>
      </c>
      <c r="AC210" s="8">
        <v>0</v>
      </c>
      <c r="AD210" s="8">
        <v>0</v>
      </c>
    </row>
    <row r="211" spans="1:30" ht="37.5" hidden="1" x14ac:dyDescent="0.25">
      <c r="A211" s="8">
        <v>1211</v>
      </c>
      <c r="B211" s="7" t="s">
        <v>57</v>
      </c>
      <c r="C211" s="7" t="s">
        <v>306</v>
      </c>
      <c r="D211" s="8">
        <v>0.2</v>
      </c>
      <c r="E211" s="7" t="s">
        <v>314</v>
      </c>
      <c r="F211" s="7" t="str">
        <f t="shared" si="3"/>
        <v>Wk2</v>
      </c>
      <c r="G211" s="8">
        <v>0</v>
      </c>
      <c r="H211" s="8">
        <v>0</v>
      </c>
      <c r="I211" s="8">
        <v>0</v>
      </c>
      <c r="J211" s="8">
        <v>0</v>
      </c>
      <c r="K211" s="8">
        <v>0</v>
      </c>
      <c r="L211" s="8">
        <v>0</v>
      </c>
      <c r="M211" s="8">
        <v>0</v>
      </c>
      <c r="N211" s="8">
        <v>0</v>
      </c>
      <c r="O211" s="8">
        <v>0</v>
      </c>
      <c r="P211" s="8">
        <v>0</v>
      </c>
      <c r="Q211" s="8">
        <v>0</v>
      </c>
      <c r="R211" s="8">
        <v>0</v>
      </c>
      <c r="S211" s="8">
        <v>0</v>
      </c>
      <c r="T211" s="8">
        <v>0</v>
      </c>
      <c r="U211" s="8">
        <v>0</v>
      </c>
      <c r="V211" s="8">
        <v>0</v>
      </c>
      <c r="W211" s="8">
        <v>0</v>
      </c>
      <c r="X211" s="8">
        <v>0</v>
      </c>
      <c r="Y211" s="8">
        <v>0</v>
      </c>
      <c r="Z211" s="8">
        <v>0</v>
      </c>
      <c r="AA211" s="8">
        <v>0</v>
      </c>
      <c r="AB211" s="8">
        <v>0</v>
      </c>
      <c r="AC211" s="8">
        <v>0</v>
      </c>
      <c r="AD211" s="8">
        <v>0</v>
      </c>
    </row>
    <row r="212" spans="1:30" ht="50" hidden="1" x14ac:dyDescent="0.25">
      <c r="A212" s="6">
        <v>1212</v>
      </c>
      <c r="B212" s="7" t="s">
        <v>55</v>
      </c>
      <c r="C212" s="7" t="s">
        <v>306</v>
      </c>
      <c r="D212" s="8">
        <v>0.18149999999999999</v>
      </c>
      <c r="E212" s="7" t="s">
        <v>315</v>
      </c>
      <c r="F212" s="7" t="str">
        <f t="shared" si="3"/>
        <v>WK1</v>
      </c>
      <c r="G212" s="8">
        <v>0</v>
      </c>
      <c r="H212" s="8">
        <v>0</v>
      </c>
      <c r="I212" s="8">
        <v>0</v>
      </c>
      <c r="J212" s="8">
        <v>0</v>
      </c>
      <c r="K212" s="8">
        <v>0</v>
      </c>
      <c r="L212" s="8">
        <v>0</v>
      </c>
      <c r="M212" s="8">
        <v>0</v>
      </c>
      <c r="N212" s="8">
        <v>0</v>
      </c>
      <c r="O212" s="8">
        <v>0</v>
      </c>
      <c r="P212" s="8">
        <v>0</v>
      </c>
      <c r="Q212" s="8">
        <v>0</v>
      </c>
      <c r="R212" s="8">
        <v>0.25</v>
      </c>
      <c r="S212" s="8">
        <v>1</v>
      </c>
      <c r="T212" s="8">
        <v>1</v>
      </c>
      <c r="U212" s="8">
        <v>0.75</v>
      </c>
      <c r="V212" s="8">
        <v>0</v>
      </c>
      <c r="W212" s="8">
        <v>0</v>
      </c>
      <c r="X212" s="8">
        <v>0</v>
      </c>
      <c r="Y212" s="8">
        <v>0</v>
      </c>
      <c r="Z212" s="8">
        <v>0</v>
      </c>
      <c r="AA212" s="8">
        <v>0</v>
      </c>
      <c r="AB212" s="8">
        <v>0</v>
      </c>
      <c r="AC212" s="8">
        <v>0</v>
      </c>
      <c r="AD212" s="8">
        <v>0</v>
      </c>
    </row>
    <row r="213" spans="1:30" ht="50" hidden="1" x14ac:dyDescent="0.25">
      <c r="A213" s="8">
        <v>1212</v>
      </c>
      <c r="B213" s="7" t="s">
        <v>55</v>
      </c>
      <c r="C213" s="7" t="s">
        <v>306</v>
      </c>
      <c r="D213" s="8">
        <v>0.18149999999999999</v>
      </c>
      <c r="E213" s="7" t="s">
        <v>316</v>
      </c>
      <c r="F213" s="7" t="str">
        <f t="shared" si="3"/>
        <v>Wk2</v>
      </c>
      <c r="G213" s="8">
        <v>0</v>
      </c>
      <c r="H213" s="8">
        <v>0</v>
      </c>
      <c r="I213" s="8">
        <v>0</v>
      </c>
      <c r="J213" s="8">
        <v>0</v>
      </c>
      <c r="K213" s="8">
        <v>0</v>
      </c>
      <c r="L213" s="8">
        <v>0</v>
      </c>
      <c r="M213" s="8">
        <v>0</v>
      </c>
      <c r="N213" s="8">
        <v>0</v>
      </c>
      <c r="O213" s="8">
        <v>0</v>
      </c>
      <c r="P213" s="8">
        <v>0</v>
      </c>
      <c r="Q213" s="8">
        <v>0</v>
      </c>
      <c r="R213" s="8">
        <v>0</v>
      </c>
      <c r="S213" s="8">
        <v>0</v>
      </c>
      <c r="T213" s="8">
        <v>0</v>
      </c>
      <c r="U213" s="8">
        <v>0</v>
      </c>
      <c r="V213" s="8">
        <v>0</v>
      </c>
      <c r="W213" s="8">
        <v>0</v>
      </c>
      <c r="X213" s="8">
        <v>0</v>
      </c>
      <c r="Y213" s="8">
        <v>0</v>
      </c>
      <c r="Z213" s="8">
        <v>0</v>
      </c>
      <c r="AA213" s="8">
        <v>0</v>
      </c>
      <c r="AB213" s="8">
        <v>0</v>
      </c>
      <c r="AC213" s="8">
        <v>0</v>
      </c>
      <c r="AD213" s="8">
        <v>0</v>
      </c>
    </row>
    <row r="214" spans="1:30" ht="37.5" hidden="1" x14ac:dyDescent="0.25">
      <c r="A214" s="6">
        <v>1213</v>
      </c>
      <c r="B214" s="7" t="s">
        <v>239</v>
      </c>
      <c r="C214" s="7" t="s">
        <v>306</v>
      </c>
      <c r="D214" s="8">
        <v>0.21830985915492959</v>
      </c>
      <c r="E214" s="7" t="s">
        <v>317</v>
      </c>
      <c r="F214" s="7" t="str">
        <f t="shared" si="3"/>
        <v>WK1</v>
      </c>
      <c r="G214" s="8">
        <v>0</v>
      </c>
      <c r="H214" s="8">
        <v>0</v>
      </c>
      <c r="I214" s="8">
        <v>0</v>
      </c>
      <c r="J214" s="8">
        <v>0</v>
      </c>
      <c r="K214" s="8">
        <v>0</v>
      </c>
      <c r="L214" s="8">
        <v>0</v>
      </c>
      <c r="M214" s="8">
        <v>0</v>
      </c>
      <c r="N214" s="8">
        <v>0.1</v>
      </c>
      <c r="O214" s="8">
        <v>0.25</v>
      </c>
      <c r="P214" s="8">
        <v>0.75</v>
      </c>
      <c r="Q214" s="8">
        <v>1</v>
      </c>
      <c r="R214" s="8">
        <v>1</v>
      </c>
      <c r="S214" s="8">
        <v>0.5</v>
      </c>
      <c r="T214" s="8">
        <v>0.5</v>
      </c>
      <c r="U214" s="8">
        <v>1</v>
      </c>
      <c r="V214" s="8">
        <v>1</v>
      </c>
      <c r="W214" s="8">
        <v>0.5</v>
      </c>
      <c r="X214" s="8">
        <v>0.5</v>
      </c>
      <c r="Y214" s="8">
        <v>0</v>
      </c>
      <c r="Z214" s="8">
        <v>0</v>
      </c>
      <c r="AA214" s="8">
        <v>0</v>
      </c>
      <c r="AB214" s="8">
        <v>0</v>
      </c>
      <c r="AC214" s="8">
        <v>0</v>
      </c>
      <c r="AD214" s="8">
        <v>0</v>
      </c>
    </row>
    <row r="215" spans="1:30" ht="37.5" hidden="1" x14ac:dyDescent="0.25">
      <c r="A215" s="8">
        <v>1213</v>
      </c>
      <c r="B215" s="7" t="s">
        <v>239</v>
      </c>
      <c r="C215" s="7" t="s">
        <v>306</v>
      </c>
      <c r="D215" s="8">
        <v>0.21830985915492959</v>
      </c>
      <c r="E215" s="7" t="s">
        <v>318</v>
      </c>
      <c r="F215" s="7" t="str">
        <f t="shared" si="3"/>
        <v>Wk2</v>
      </c>
      <c r="G215" s="8">
        <v>0</v>
      </c>
      <c r="H215" s="8">
        <v>0</v>
      </c>
      <c r="I215" s="8">
        <v>0</v>
      </c>
      <c r="J215" s="8">
        <v>0</v>
      </c>
      <c r="K215" s="8">
        <v>0</v>
      </c>
      <c r="L215" s="8">
        <v>0</v>
      </c>
      <c r="M215" s="8">
        <v>0</v>
      </c>
      <c r="N215" s="8">
        <v>0</v>
      </c>
      <c r="O215" s="8">
        <v>0</v>
      </c>
      <c r="P215" s="8">
        <v>0</v>
      </c>
      <c r="Q215" s="8">
        <v>0</v>
      </c>
      <c r="R215" s="8">
        <v>0</v>
      </c>
      <c r="S215" s="8">
        <v>0</v>
      </c>
      <c r="T215" s="8">
        <v>0</v>
      </c>
      <c r="U215" s="8">
        <v>0</v>
      </c>
      <c r="V215" s="8">
        <v>0</v>
      </c>
      <c r="W215" s="8">
        <v>0</v>
      </c>
      <c r="X215" s="8">
        <v>0</v>
      </c>
      <c r="Y215" s="8">
        <v>0</v>
      </c>
      <c r="Z215" s="8">
        <v>0</v>
      </c>
      <c r="AA215" s="8">
        <v>0</v>
      </c>
      <c r="AB215" s="8">
        <v>0</v>
      </c>
      <c r="AC215" s="8">
        <v>0</v>
      </c>
      <c r="AD215" s="8">
        <v>0</v>
      </c>
    </row>
    <row r="216" spans="1:30" ht="50" hidden="1" x14ac:dyDescent="0.25">
      <c r="A216" s="8">
        <v>1214</v>
      </c>
      <c r="B216" s="7" t="s">
        <v>319</v>
      </c>
      <c r="C216" s="7" t="s">
        <v>306</v>
      </c>
      <c r="D216" s="8">
        <v>0.21830985915492959</v>
      </c>
      <c r="E216" s="7" t="s">
        <v>320</v>
      </c>
      <c r="F216" s="7" t="str">
        <f t="shared" si="3"/>
        <v>Wk2</v>
      </c>
      <c r="G216" s="8">
        <v>0</v>
      </c>
      <c r="H216" s="8">
        <v>0</v>
      </c>
      <c r="I216" s="8">
        <v>0</v>
      </c>
      <c r="J216" s="8">
        <v>0</v>
      </c>
      <c r="K216" s="8">
        <v>0</v>
      </c>
      <c r="L216" s="8">
        <v>0</v>
      </c>
      <c r="M216" s="8">
        <v>0</v>
      </c>
      <c r="N216" s="8">
        <v>0</v>
      </c>
      <c r="O216" s="8">
        <v>0</v>
      </c>
      <c r="P216" s="8">
        <v>0</v>
      </c>
      <c r="Q216" s="8">
        <v>0</v>
      </c>
      <c r="R216" s="8">
        <v>0</v>
      </c>
      <c r="S216" s="8">
        <v>0</v>
      </c>
      <c r="T216" s="8">
        <v>0</v>
      </c>
      <c r="U216" s="8">
        <v>0</v>
      </c>
      <c r="V216" s="8">
        <v>0</v>
      </c>
      <c r="W216" s="8">
        <v>0</v>
      </c>
      <c r="X216" s="8">
        <v>0</v>
      </c>
      <c r="Y216" s="8">
        <v>0</v>
      </c>
      <c r="Z216" s="8">
        <v>0</v>
      </c>
      <c r="AA216" s="8">
        <v>0</v>
      </c>
      <c r="AB216" s="8">
        <v>0</v>
      </c>
      <c r="AC216" s="8">
        <v>0</v>
      </c>
      <c r="AD216" s="8">
        <v>0</v>
      </c>
    </row>
    <row r="217" spans="1:30" ht="50" hidden="1" x14ac:dyDescent="0.25">
      <c r="A217" s="6">
        <v>1214</v>
      </c>
      <c r="B217" s="7" t="s">
        <v>319</v>
      </c>
      <c r="C217" s="7" t="s">
        <v>306</v>
      </c>
      <c r="D217" s="8">
        <v>0.21830985915492959</v>
      </c>
      <c r="E217" s="7" t="s">
        <v>321</v>
      </c>
      <c r="F217" s="7" t="str">
        <f t="shared" si="3"/>
        <v>Wk1</v>
      </c>
      <c r="G217" s="8">
        <v>0</v>
      </c>
      <c r="H217" s="8">
        <v>0</v>
      </c>
      <c r="I217" s="8">
        <v>0</v>
      </c>
      <c r="J217" s="8">
        <v>0</v>
      </c>
      <c r="K217" s="8">
        <v>0</v>
      </c>
      <c r="L217" s="8">
        <v>0</v>
      </c>
      <c r="M217" s="8">
        <v>0</v>
      </c>
      <c r="N217" s="8">
        <v>0.1</v>
      </c>
      <c r="O217" s="8">
        <v>0.25</v>
      </c>
      <c r="P217" s="8">
        <v>0.75</v>
      </c>
      <c r="Q217" s="8">
        <v>1</v>
      </c>
      <c r="R217" s="8">
        <v>1</v>
      </c>
      <c r="S217" s="8">
        <v>0.5</v>
      </c>
      <c r="T217" s="8">
        <v>0.5</v>
      </c>
      <c r="U217" s="8">
        <v>1</v>
      </c>
      <c r="V217" s="8">
        <v>1</v>
      </c>
      <c r="W217" s="8">
        <v>0.5</v>
      </c>
      <c r="X217" s="8">
        <v>0.5</v>
      </c>
      <c r="Y217" s="8">
        <v>0</v>
      </c>
      <c r="Z217" s="8">
        <v>0</v>
      </c>
      <c r="AA217" s="8">
        <v>0</v>
      </c>
      <c r="AB217" s="8">
        <v>0</v>
      </c>
      <c r="AC217" s="8">
        <v>0</v>
      </c>
      <c r="AD217" s="8">
        <v>0</v>
      </c>
    </row>
    <row r="218" spans="1:30" ht="37.5" hidden="1" x14ac:dyDescent="0.25">
      <c r="A218" s="6">
        <v>1215</v>
      </c>
      <c r="B218" s="7" t="s">
        <v>101</v>
      </c>
      <c r="C218" s="7" t="s">
        <v>306</v>
      </c>
      <c r="D218" s="8">
        <v>0.20985915492957746</v>
      </c>
      <c r="E218" s="7" t="s">
        <v>322</v>
      </c>
      <c r="F218" s="7" t="str">
        <f t="shared" si="3"/>
        <v>WK1</v>
      </c>
      <c r="G218" s="8">
        <v>0</v>
      </c>
      <c r="H218" s="8">
        <v>0</v>
      </c>
      <c r="I218" s="8">
        <v>0</v>
      </c>
      <c r="J218" s="8">
        <v>0</v>
      </c>
      <c r="K218" s="8">
        <v>0</v>
      </c>
      <c r="L218" s="8">
        <v>0</v>
      </c>
      <c r="M218" s="8">
        <v>0</v>
      </c>
      <c r="N218" s="8">
        <v>0.1</v>
      </c>
      <c r="O218" s="8">
        <v>0.25</v>
      </c>
      <c r="P218" s="8">
        <v>0.75</v>
      </c>
      <c r="Q218" s="8">
        <v>1</v>
      </c>
      <c r="R218" s="8">
        <v>1</v>
      </c>
      <c r="S218" s="8">
        <v>0.5</v>
      </c>
      <c r="T218" s="8">
        <v>0.5</v>
      </c>
      <c r="U218" s="8">
        <v>1</v>
      </c>
      <c r="V218" s="8">
        <v>1</v>
      </c>
      <c r="W218" s="8">
        <v>0.5</v>
      </c>
      <c r="X218" s="8">
        <v>0.5</v>
      </c>
      <c r="Y218" s="8">
        <v>0</v>
      </c>
      <c r="Z218" s="8">
        <v>0</v>
      </c>
      <c r="AA218" s="8">
        <v>0</v>
      </c>
      <c r="AB218" s="8">
        <v>0</v>
      </c>
      <c r="AC218" s="8">
        <v>0</v>
      </c>
      <c r="AD218" s="8">
        <v>0</v>
      </c>
    </row>
    <row r="219" spans="1:30" ht="37.5" hidden="1" x14ac:dyDescent="0.25">
      <c r="A219" s="8">
        <v>1215</v>
      </c>
      <c r="B219" s="7" t="s">
        <v>101</v>
      </c>
      <c r="C219" s="7" t="s">
        <v>306</v>
      </c>
      <c r="D219" s="8">
        <v>0.20985915492957746</v>
      </c>
      <c r="E219" s="7" t="s">
        <v>323</v>
      </c>
      <c r="F219" s="7" t="str">
        <f t="shared" si="3"/>
        <v>Wk2</v>
      </c>
      <c r="G219" s="8">
        <v>0</v>
      </c>
      <c r="H219" s="8">
        <v>0</v>
      </c>
      <c r="I219" s="8">
        <v>0</v>
      </c>
      <c r="J219" s="8">
        <v>0</v>
      </c>
      <c r="K219" s="8">
        <v>0</v>
      </c>
      <c r="L219" s="8">
        <v>0</v>
      </c>
      <c r="M219" s="8">
        <v>0</v>
      </c>
      <c r="N219" s="8">
        <v>0</v>
      </c>
      <c r="O219" s="8">
        <v>0</v>
      </c>
      <c r="P219" s="8">
        <v>0</v>
      </c>
      <c r="Q219" s="8">
        <v>0</v>
      </c>
      <c r="R219" s="8">
        <v>0</v>
      </c>
      <c r="S219" s="8">
        <v>0</v>
      </c>
      <c r="T219" s="8">
        <v>0</v>
      </c>
      <c r="U219" s="8">
        <v>0</v>
      </c>
      <c r="V219" s="8">
        <v>0</v>
      </c>
      <c r="W219" s="8">
        <v>0</v>
      </c>
      <c r="X219" s="8">
        <v>0</v>
      </c>
      <c r="Y219" s="8">
        <v>0</v>
      </c>
      <c r="Z219" s="8">
        <v>0</v>
      </c>
      <c r="AA219" s="8">
        <v>0</v>
      </c>
      <c r="AB219" s="8">
        <v>0</v>
      </c>
      <c r="AC219" s="8">
        <v>0</v>
      </c>
      <c r="AD219" s="8">
        <v>0</v>
      </c>
    </row>
    <row r="220" spans="1:30" ht="37.5" hidden="1" x14ac:dyDescent="0.25">
      <c r="A220" s="6">
        <v>1216</v>
      </c>
      <c r="B220" s="7" t="s">
        <v>47</v>
      </c>
      <c r="C220" s="7" t="s">
        <v>306</v>
      </c>
      <c r="D220" s="8">
        <v>0.11</v>
      </c>
      <c r="E220" s="7" t="s">
        <v>324</v>
      </c>
      <c r="F220" s="7" t="str">
        <f t="shared" si="3"/>
        <v>WK1</v>
      </c>
      <c r="G220" s="8">
        <v>0</v>
      </c>
      <c r="H220" s="8">
        <v>0</v>
      </c>
      <c r="I220" s="8">
        <v>0</v>
      </c>
      <c r="J220" s="8">
        <v>0</v>
      </c>
      <c r="K220" s="8">
        <v>0</v>
      </c>
      <c r="L220" s="8">
        <v>0</v>
      </c>
      <c r="M220" s="8">
        <v>0</v>
      </c>
      <c r="N220" s="8">
        <v>0</v>
      </c>
      <c r="O220" s="8">
        <v>0</v>
      </c>
      <c r="P220" s="8">
        <v>0</v>
      </c>
      <c r="Q220" s="8">
        <v>0</v>
      </c>
      <c r="R220" s="8">
        <v>0</v>
      </c>
      <c r="S220" s="8">
        <v>0</v>
      </c>
      <c r="T220" s="8">
        <v>0</v>
      </c>
      <c r="U220" s="8">
        <v>0</v>
      </c>
      <c r="V220" s="8">
        <v>0</v>
      </c>
      <c r="W220" s="8">
        <v>0</v>
      </c>
      <c r="X220" s="8">
        <v>0</v>
      </c>
      <c r="Y220" s="8">
        <v>0</v>
      </c>
      <c r="Z220" s="8">
        <v>0</v>
      </c>
      <c r="AA220" s="8">
        <v>0</v>
      </c>
      <c r="AB220" s="8">
        <v>0</v>
      </c>
      <c r="AC220" s="8">
        <v>0</v>
      </c>
      <c r="AD220" s="8">
        <v>0</v>
      </c>
    </row>
    <row r="221" spans="1:30" ht="37.5" hidden="1" x14ac:dyDescent="0.25">
      <c r="A221" s="8">
        <v>1216</v>
      </c>
      <c r="B221" s="7" t="s">
        <v>47</v>
      </c>
      <c r="C221" s="7" t="s">
        <v>306</v>
      </c>
      <c r="D221" s="8">
        <v>0.11</v>
      </c>
      <c r="E221" s="7" t="s">
        <v>325</v>
      </c>
      <c r="F221" s="7" t="str">
        <f t="shared" si="3"/>
        <v>Wk2</v>
      </c>
      <c r="G221" s="8">
        <v>0</v>
      </c>
      <c r="H221" s="8">
        <v>0</v>
      </c>
      <c r="I221" s="8">
        <v>0</v>
      </c>
      <c r="J221" s="8">
        <v>0</v>
      </c>
      <c r="K221" s="8">
        <v>0</v>
      </c>
      <c r="L221" s="8">
        <v>0</v>
      </c>
      <c r="M221" s="8">
        <v>0</v>
      </c>
      <c r="N221" s="8">
        <v>0</v>
      </c>
      <c r="O221" s="8">
        <v>0</v>
      </c>
      <c r="P221" s="8">
        <v>0</v>
      </c>
      <c r="Q221" s="8">
        <v>0</v>
      </c>
      <c r="R221" s="8">
        <v>0</v>
      </c>
      <c r="S221" s="8">
        <v>0</v>
      </c>
      <c r="T221" s="8">
        <v>0</v>
      </c>
      <c r="U221" s="8">
        <v>0</v>
      </c>
      <c r="V221" s="8">
        <v>0</v>
      </c>
      <c r="W221" s="8">
        <v>0</v>
      </c>
      <c r="X221" s="8">
        <v>0</v>
      </c>
      <c r="Y221" s="8">
        <v>0</v>
      </c>
      <c r="Z221" s="8">
        <v>0</v>
      </c>
      <c r="AA221" s="8">
        <v>0</v>
      </c>
      <c r="AB221" s="8">
        <v>0</v>
      </c>
      <c r="AC221" s="8">
        <v>0</v>
      </c>
      <c r="AD221" s="8">
        <v>0</v>
      </c>
    </row>
    <row r="222" spans="1:30" ht="50" hidden="1" x14ac:dyDescent="0.25">
      <c r="A222" s="6">
        <v>1217</v>
      </c>
      <c r="B222" s="7" t="s">
        <v>45</v>
      </c>
      <c r="C222" s="7" t="s">
        <v>306</v>
      </c>
      <c r="D222" s="8">
        <v>0.11550000000000001</v>
      </c>
      <c r="E222" s="7" t="s">
        <v>326</v>
      </c>
      <c r="F222" s="7" t="str">
        <f t="shared" si="3"/>
        <v>WK1</v>
      </c>
      <c r="G222" s="8">
        <v>0</v>
      </c>
      <c r="H222" s="8">
        <v>0</v>
      </c>
      <c r="I222" s="8">
        <v>0</v>
      </c>
      <c r="J222" s="8">
        <v>0</v>
      </c>
      <c r="K222" s="8">
        <v>0</v>
      </c>
      <c r="L222" s="8">
        <v>0</v>
      </c>
      <c r="M222" s="8">
        <v>0</v>
      </c>
      <c r="N222" s="8">
        <v>0</v>
      </c>
      <c r="O222" s="8">
        <v>0</v>
      </c>
      <c r="P222" s="8">
        <v>1</v>
      </c>
      <c r="Q222" s="8">
        <v>1</v>
      </c>
      <c r="R222" s="8">
        <v>1</v>
      </c>
      <c r="S222" s="8">
        <v>1</v>
      </c>
      <c r="T222" s="8">
        <v>1</v>
      </c>
      <c r="U222" s="8">
        <v>1</v>
      </c>
      <c r="V222" s="8">
        <v>1</v>
      </c>
      <c r="W222" s="8">
        <v>1</v>
      </c>
      <c r="X222" s="8">
        <v>0</v>
      </c>
      <c r="Y222" s="8">
        <v>0</v>
      </c>
      <c r="Z222" s="8">
        <v>0</v>
      </c>
      <c r="AA222" s="8">
        <v>0</v>
      </c>
      <c r="AB222" s="8">
        <v>0</v>
      </c>
      <c r="AC222" s="8">
        <v>0</v>
      </c>
      <c r="AD222" s="8">
        <v>0</v>
      </c>
    </row>
    <row r="223" spans="1:30" ht="50" hidden="1" x14ac:dyDescent="0.25">
      <c r="A223" s="8">
        <v>1217</v>
      </c>
      <c r="B223" s="7" t="s">
        <v>45</v>
      </c>
      <c r="C223" s="7" t="s">
        <v>306</v>
      </c>
      <c r="D223" s="8">
        <v>0.11550000000000001</v>
      </c>
      <c r="E223" s="7" t="s">
        <v>327</v>
      </c>
      <c r="F223" s="7" t="str">
        <f t="shared" si="3"/>
        <v>Wk2</v>
      </c>
      <c r="G223" s="8">
        <v>0</v>
      </c>
      <c r="H223" s="8">
        <v>0</v>
      </c>
      <c r="I223" s="8">
        <v>0</v>
      </c>
      <c r="J223" s="8">
        <v>0</v>
      </c>
      <c r="K223" s="8">
        <v>0</v>
      </c>
      <c r="L223" s="8">
        <v>0</v>
      </c>
      <c r="M223" s="8">
        <v>0</v>
      </c>
      <c r="N223" s="8">
        <v>0</v>
      </c>
      <c r="O223" s="8">
        <v>0</v>
      </c>
      <c r="P223" s="8">
        <v>0</v>
      </c>
      <c r="Q223" s="8">
        <v>0</v>
      </c>
      <c r="R223" s="8">
        <v>0</v>
      </c>
      <c r="S223" s="8">
        <v>0</v>
      </c>
      <c r="T223" s="8">
        <v>0</v>
      </c>
      <c r="U223" s="8">
        <v>0</v>
      </c>
      <c r="V223" s="8">
        <v>0</v>
      </c>
      <c r="W223" s="8">
        <v>0</v>
      </c>
      <c r="X223" s="8">
        <v>0</v>
      </c>
      <c r="Y223" s="8">
        <v>0</v>
      </c>
      <c r="Z223" s="8">
        <v>0</v>
      </c>
      <c r="AA223" s="8">
        <v>0</v>
      </c>
      <c r="AB223" s="8">
        <v>0</v>
      </c>
      <c r="AC223" s="8">
        <v>0</v>
      </c>
      <c r="AD223" s="8">
        <v>0</v>
      </c>
    </row>
    <row r="224" spans="1:30" ht="37.5" hidden="1" x14ac:dyDescent="0.25">
      <c r="A224" s="6">
        <v>1218</v>
      </c>
      <c r="B224" s="7" t="s">
        <v>38</v>
      </c>
      <c r="C224" s="7" t="s">
        <v>306</v>
      </c>
      <c r="D224" s="8">
        <v>0.12100000000000001</v>
      </c>
      <c r="E224" s="7" t="s">
        <v>328</v>
      </c>
      <c r="F224" s="7" t="str">
        <f t="shared" si="3"/>
        <v>WK1</v>
      </c>
      <c r="G224" s="8">
        <v>0</v>
      </c>
      <c r="H224" s="8">
        <v>0</v>
      </c>
      <c r="I224" s="8">
        <v>0</v>
      </c>
      <c r="J224" s="8">
        <v>0</v>
      </c>
      <c r="K224" s="8">
        <v>0</v>
      </c>
      <c r="L224" s="8">
        <v>0</v>
      </c>
      <c r="M224" s="8">
        <v>0</v>
      </c>
      <c r="N224" s="8">
        <v>0</v>
      </c>
      <c r="O224" s="8">
        <v>1</v>
      </c>
      <c r="P224" s="8">
        <v>1</v>
      </c>
      <c r="Q224" s="8">
        <v>1</v>
      </c>
      <c r="R224" s="8">
        <v>1</v>
      </c>
      <c r="S224" s="8">
        <v>1</v>
      </c>
      <c r="T224" s="8">
        <v>1</v>
      </c>
      <c r="U224" s="8">
        <v>1</v>
      </c>
      <c r="V224" s="8">
        <v>1</v>
      </c>
      <c r="W224" s="8">
        <v>1</v>
      </c>
      <c r="X224" s="8">
        <v>1</v>
      </c>
      <c r="Y224" s="8">
        <v>0</v>
      </c>
      <c r="Z224" s="8">
        <v>0</v>
      </c>
      <c r="AA224" s="8">
        <v>0</v>
      </c>
      <c r="AB224" s="8">
        <v>0</v>
      </c>
      <c r="AC224" s="8">
        <v>0</v>
      </c>
      <c r="AD224" s="8">
        <v>0</v>
      </c>
    </row>
    <row r="225" spans="1:30" ht="37.5" hidden="1" x14ac:dyDescent="0.25">
      <c r="A225" s="8">
        <v>1218</v>
      </c>
      <c r="B225" s="7" t="s">
        <v>38</v>
      </c>
      <c r="C225" s="7" t="s">
        <v>306</v>
      </c>
      <c r="D225" s="8">
        <v>0.12100000000000001</v>
      </c>
      <c r="E225" s="7" t="s">
        <v>329</v>
      </c>
      <c r="F225" s="7" t="str">
        <f t="shared" si="3"/>
        <v>Wk2</v>
      </c>
      <c r="G225" s="8">
        <v>0</v>
      </c>
      <c r="H225" s="8">
        <v>0</v>
      </c>
      <c r="I225" s="8">
        <v>0</v>
      </c>
      <c r="J225" s="8">
        <v>0</v>
      </c>
      <c r="K225" s="8">
        <v>0</v>
      </c>
      <c r="L225" s="8">
        <v>0</v>
      </c>
      <c r="M225" s="8">
        <v>0</v>
      </c>
      <c r="N225" s="8">
        <v>0</v>
      </c>
      <c r="O225" s="8">
        <v>0</v>
      </c>
      <c r="P225" s="8">
        <v>0</v>
      </c>
      <c r="Q225" s="8">
        <v>0</v>
      </c>
      <c r="R225" s="8">
        <v>0</v>
      </c>
      <c r="S225" s="8">
        <v>0</v>
      </c>
      <c r="T225" s="8">
        <v>0</v>
      </c>
      <c r="U225" s="8">
        <v>0</v>
      </c>
      <c r="V225" s="8">
        <v>0</v>
      </c>
      <c r="W225" s="8">
        <v>0</v>
      </c>
      <c r="X225" s="8">
        <v>0</v>
      </c>
      <c r="Y225" s="8">
        <v>0</v>
      </c>
      <c r="Z225" s="8">
        <v>0</v>
      </c>
      <c r="AA225" s="8">
        <v>0</v>
      </c>
      <c r="AB225" s="8">
        <v>0</v>
      </c>
      <c r="AC225" s="8">
        <v>0</v>
      </c>
      <c r="AD225" s="8">
        <v>0</v>
      </c>
    </row>
    <row r="226" spans="1:30" ht="37.5" hidden="1" x14ac:dyDescent="0.25">
      <c r="A226" s="6">
        <v>1219</v>
      </c>
      <c r="B226" s="7" t="s">
        <v>78</v>
      </c>
      <c r="C226" s="7" t="s">
        <v>306</v>
      </c>
      <c r="D226" s="8">
        <v>0.14577956989247309</v>
      </c>
      <c r="E226" s="7" t="s">
        <v>330</v>
      </c>
      <c r="F226" s="7" t="str">
        <f t="shared" si="3"/>
        <v>WK1</v>
      </c>
      <c r="G226" s="8">
        <v>0</v>
      </c>
      <c r="H226" s="8">
        <v>0</v>
      </c>
      <c r="I226" s="8">
        <v>0</v>
      </c>
      <c r="J226" s="8">
        <v>0</v>
      </c>
      <c r="K226" s="8">
        <v>0</v>
      </c>
      <c r="L226" s="8">
        <v>0</v>
      </c>
      <c r="M226" s="8">
        <v>0</v>
      </c>
      <c r="N226" s="8">
        <v>0</v>
      </c>
      <c r="O226" s="8">
        <v>0</v>
      </c>
      <c r="P226" s="8">
        <v>1</v>
      </c>
      <c r="Q226" s="8">
        <v>1</v>
      </c>
      <c r="R226" s="8">
        <v>1</v>
      </c>
      <c r="S226" s="8">
        <v>1</v>
      </c>
      <c r="T226" s="8">
        <v>1</v>
      </c>
      <c r="U226" s="8">
        <v>1</v>
      </c>
      <c r="V226" s="8">
        <v>1</v>
      </c>
      <c r="W226" s="8">
        <v>1</v>
      </c>
      <c r="X226" s="8">
        <v>1</v>
      </c>
      <c r="Y226" s="8">
        <v>1</v>
      </c>
      <c r="Z226" s="8">
        <v>1</v>
      </c>
      <c r="AA226" s="8">
        <v>1</v>
      </c>
      <c r="AB226" s="8">
        <v>0</v>
      </c>
      <c r="AC226" s="8">
        <v>0</v>
      </c>
      <c r="AD226" s="8">
        <v>0</v>
      </c>
    </row>
    <row r="227" spans="1:30" ht="37.5" hidden="1" x14ac:dyDescent="0.25">
      <c r="A227" s="8">
        <v>1219</v>
      </c>
      <c r="B227" s="7" t="s">
        <v>78</v>
      </c>
      <c r="C227" s="7" t="s">
        <v>306</v>
      </c>
      <c r="D227" s="8">
        <v>0.14577956989247309</v>
      </c>
      <c r="E227" s="7" t="s">
        <v>331</v>
      </c>
      <c r="F227" s="7" t="str">
        <f t="shared" si="3"/>
        <v>Wk2</v>
      </c>
      <c r="G227" s="8">
        <v>0</v>
      </c>
      <c r="H227" s="8">
        <v>0</v>
      </c>
      <c r="I227" s="8">
        <v>0</v>
      </c>
      <c r="J227" s="8">
        <v>0</v>
      </c>
      <c r="K227" s="8">
        <v>0</v>
      </c>
      <c r="L227" s="8">
        <v>0</v>
      </c>
      <c r="M227" s="8">
        <v>0</v>
      </c>
      <c r="N227" s="8">
        <v>0</v>
      </c>
      <c r="O227" s="8">
        <v>0</v>
      </c>
      <c r="P227" s="8">
        <v>0.5</v>
      </c>
      <c r="Q227" s="8">
        <v>1</v>
      </c>
      <c r="R227" s="8">
        <v>1</v>
      </c>
      <c r="S227" s="8">
        <v>1</v>
      </c>
      <c r="T227" s="8">
        <v>0.75</v>
      </c>
      <c r="U227" s="8">
        <v>1</v>
      </c>
      <c r="V227" s="8">
        <v>0.75</v>
      </c>
      <c r="W227" s="8">
        <v>0</v>
      </c>
      <c r="X227" s="8">
        <v>0</v>
      </c>
      <c r="Y227" s="8">
        <v>0</v>
      </c>
      <c r="Z227" s="8">
        <v>0</v>
      </c>
      <c r="AA227" s="8">
        <v>0</v>
      </c>
      <c r="AB227" s="8">
        <v>0</v>
      </c>
      <c r="AC227" s="8">
        <v>0</v>
      </c>
      <c r="AD227" s="8">
        <v>0</v>
      </c>
    </row>
    <row r="228" spans="1:30" ht="37.5" hidden="1" x14ac:dyDescent="0.25">
      <c r="A228" s="6">
        <v>1220</v>
      </c>
      <c r="B228" s="7" t="s">
        <v>43</v>
      </c>
      <c r="C228" s="7" t="s">
        <v>306</v>
      </c>
      <c r="D228" s="8">
        <v>0.11</v>
      </c>
      <c r="E228" s="7" t="s">
        <v>332</v>
      </c>
      <c r="F228" s="7" t="str">
        <f t="shared" si="3"/>
        <v>WK1</v>
      </c>
      <c r="G228" s="8">
        <v>0</v>
      </c>
      <c r="H228" s="8">
        <v>0</v>
      </c>
      <c r="I228" s="8">
        <v>0</v>
      </c>
      <c r="J228" s="8">
        <v>0</v>
      </c>
      <c r="K228" s="8">
        <v>0</v>
      </c>
      <c r="L228" s="8">
        <v>0</v>
      </c>
      <c r="M228" s="8">
        <v>0</v>
      </c>
      <c r="N228" s="8">
        <v>0.25</v>
      </c>
      <c r="O228" s="8">
        <v>0.5</v>
      </c>
      <c r="P228" s="8">
        <v>1</v>
      </c>
      <c r="Q228" s="8">
        <v>1</v>
      </c>
      <c r="R228" s="8">
        <v>1</v>
      </c>
      <c r="S228" s="8">
        <v>0.75</v>
      </c>
      <c r="T228" s="8">
        <v>0.75</v>
      </c>
      <c r="U228" s="8">
        <v>1</v>
      </c>
      <c r="V228" s="8">
        <v>1</v>
      </c>
      <c r="W228" s="8">
        <v>1</v>
      </c>
      <c r="X228" s="8">
        <v>0.5</v>
      </c>
      <c r="Y228" s="8">
        <v>0.25</v>
      </c>
      <c r="Z228" s="8">
        <v>0</v>
      </c>
      <c r="AA228" s="8">
        <v>0</v>
      </c>
      <c r="AB228" s="8">
        <v>0</v>
      </c>
      <c r="AC228" s="8">
        <v>0</v>
      </c>
      <c r="AD228" s="8">
        <v>0</v>
      </c>
    </row>
    <row r="229" spans="1:30" ht="37.5" hidden="1" x14ac:dyDescent="0.25">
      <c r="A229" s="8">
        <v>1220</v>
      </c>
      <c r="B229" s="7" t="s">
        <v>43</v>
      </c>
      <c r="C229" s="7" t="s">
        <v>306</v>
      </c>
      <c r="D229" s="8">
        <v>0.11</v>
      </c>
      <c r="E229" s="7" t="s">
        <v>333</v>
      </c>
      <c r="F229" s="7" t="str">
        <f t="shared" si="3"/>
        <v>Wk2</v>
      </c>
      <c r="G229" s="8">
        <v>0</v>
      </c>
      <c r="H229" s="8">
        <v>0</v>
      </c>
      <c r="I229" s="8">
        <v>0</v>
      </c>
      <c r="J229" s="8">
        <v>0</v>
      </c>
      <c r="K229" s="8">
        <v>0</v>
      </c>
      <c r="L229" s="8">
        <v>0</v>
      </c>
      <c r="M229" s="8">
        <v>0</v>
      </c>
      <c r="N229" s="8">
        <v>0</v>
      </c>
      <c r="O229" s="8">
        <v>0</v>
      </c>
      <c r="P229" s="8">
        <v>0</v>
      </c>
      <c r="Q229" s="8">
        <v>0</v>
      </c>
      <c r="R229" s="8">
        <v>0</v>
      </c>
      <c r="S229" s="8">
        <v>0</v>
      </c>
      <c r="T229" s="8">
        <v>0</v>
      </c>
      <c r="U229" s="8">
        <v>0</v>
      </c>
      <c r="V229" s="8">
        <v>0</v>
      </c>
      <c r="W229" s="8">
        <v>0</v>
      </c>
      <c r="X229" s="8">
        <v>0</v>
      </c>
      <c r="Y229" s="8">
        <v>0</v>
      </c>
      <c r="Z229" s="8">
        <v>0</v>
      </c>
      <c r="AA229" s="8">
        <v>0</v>
      </c>
      <c r="AB229" s="8">
        <v>0</v>
      </c>
      <c r="AC229" s="8">
        <v>0</v>
      </c>
      <c r="AD229" s="8">
        <v>0</v>
      </c>
    </row>
    <row r="230" spans="1:30" ht="50" hidden="1" x14ac:dyDescent="0.25">
      <c r="A230" s="6">
        <v>1221</v>
      </c>
      <c r="B230" s="7" t="s">
        <v>59</v>
      </c>
      <c r="C230" s="7" t="s">
        <v>306</v>
      </c>
      <c r="D230" s="8">
        <v>6.3259259264444451E-2</v>
      </c>
      <c r="E230" s="7" t="s">
        <v>334</v>
      </c>
      <c r="F230" s="7" t="str">
        <f t="shared" si="3"/>
        <v>Wk1</v>
      </c>
      <c r="G230" s="8">
        <v>0</v>
      </c>
      <c r="H230" s="8">
        <v>0</v>
      </c>
      <c r="I230" s="8">
        <v>0</v>
      </c>
      <c r="J230" s="8">
        <v>0</v>
      </c>
      <c r="K230" s="8">
        <v>0</v>
      </c>
      <c r="L230" s="8">
        <v>0</v>
      </c>
      <c r="M230" s="8">
        <v>0</v>
      </c>
      <c r="N230" s="8">
        <v>0.25</v>
      </c>
      <c r="O230" s="8">
        <v>0.5</v>
      </c>
      <c r="P230" s="8">
        <v>1</v>
      </c>
      <c r="Q230" s="8">
        <v>1</v>
      </c>
      <c r="R230" s="8">
        <v>1</v>
      </c>
      <c r="S230" s="8">
        <v>0.75</v>
      </c>
      <c r="T230" s="8">
        <v>0.75</v>
      </c>
      <c r="U230" s="8">
        <v>1</v>
      </c>
      <c r="V230" s="8">
        <v>1</v>
      </c>
      <c r="W230" s="8">
        <v>1</v>
      </c>
      <c r="X230" s="8">
        <v>0.5</v>
      </c>
      <c r="Y230" s="8">
        <v>0.25</v>
      </c>
      <c r="Z230" s="8">
        <v>0</v>
      </c>
      <c r="AA230" s="8">
        <v>0</v>
      </c>
      <c r="AB230" s="8">
        <v>0</v>
      </c>
      <c r="AC230" s="8">
        <v>0</v>
      </c>
      <c r="AD230" s="8">
        <v>0</v>
      </c>
    </row>
    <row r="231" spans="1:30" ht="50" hidden="1" x14ac:dyDescent="0.25">
      <c r="A231" s="8">
        <v>1221</v>
      </c>
      <c r="B231" s="7" t="s">
        <v>59</v>
      </c>
      <c r="C231" s="7" t="s">
        <v>306</v>
      </c>
      <c r="D231" s="8">
        <v>6.3259259264444451E-2</v>
      </c>
      <c r="E231" s="7" t="s">
        <v>335</v>
      </c>
      <c r="F231" s="7" t="str">
        <f t="shared" si="3"/>
        <v>Wk2</v>
      </c>
      <c r="G231" s="8">
        <v>0</v>
      </c>
      <c r="H231" s="8">
        <v>0</v>
      </c>
      <c r="I231" s="8">
        <v>0</v>
      </c>
      <c r="J231" s="8">
        <v>0</v>
      </c>
      <c r="K231" s="8">
        <v>0</v>
      </c>
      <c r="L231" s="8">
        <v>0</v>
      </c>
      <c r="M231" s="8">
        <v>0</v>
      </c>
      <c r="N231" s="8">
        <v>0</v>
      </c>
      <c r="O231" s="8">
        <v>0</v>
      </c>
      <c r="P231" s="8">
        <v>0</v>
      </c>
      <c r="Q231" s="8">
        <v>0</v>
      </c>
      <c r="R231" s="8">
        <v>0</v>
      </c>
      <c r="S231" s="8">
        <v>0</v>
      </c>
      <c r="T231" s="8">
        <v>0</v>
      </c>
      <c r="U231" s="8">
        <v>0</v>
      </c>
      <c r="V231" s="8">
        <v>0</v>
      </c>
      <c r="W231" s="8">
        <v>0</v>
      </c>
      <c r="X231" s="8">
        <v>0</v>
      </c>
      <c r="Y231" s="8">
        <v>0</v>
      </c>
      <c r="Z231" s="8">
        <v>0</v>
      </c>
      <c r="AA231" s="8">
        <v>0</v>
      </c>
      <c r="AB231" s="8">
        <v>0</v>
      </c>
      <c r="AC231" s="8">
        <v>0</v>
      </c>
      <c r="AD231" s="8">
        <v>0</v>
      </c>
    </row>
    <row r="232" spans="1:30" ht="37.5" hidden="1" x14ac:dyDescent="0.25">
      <c r="A232" s="8">
        <v>1222</v>
      </c>
      <c r="B232" s="7" t="s">
        <v>336</v>
      </c>
      <c r="C232" s="7" t="s">
        <v>306</v>
      </c>
      <c r="D232" s="8">
        <v>0.55232394366197191</v>
      </c>
      <c r="E232" s="7" t="s">
        <v>337</v>
      </c>
      <c r="F232" s="7" t="str">
        <f t="shared" si="3"/>
        <v>Wk2</v>
      </c>
      <c r="G232" s="8">
        <v>0</v>
      </c>
      <c r="H232" s="8">
        <v>0</v>
      </c>
      <c r="I232" s="8">
        <v>0</v>
      </c>
      <c r="J232" s="8">
        <v>0</v>
      </c>
      <c r="K232" s="8">
        <v>0</v>
      </c>
      <c r="L232" s="8">
        <v>0</v>
      </c>
      <c r="M232" s="8">
        <v>0</v>
      </c>
      <c r="N232" s="8">
        <v>0</v>
      </c>
      <c r="O232" s="8">
        <v>0</v>
      </c>
      <c r="P232" s="8">
        <v>0</v>
      </c>
      <c r="Q232" s="8">
        <v>0</v>
      </c>
      <c r="R232" s="8">
        <v>0</v>
      </c>
      <c r="S232" s="8">
        <v>0</v>
      </c>
      <c r="T232" s="8">
        <v>0</v>
      </c>
      <c r="U232" s="8">
        <v>0</v>
      </c>
      <c r="V232" s="8">
        <v>0</v>
      </c>
      <c r="W232" s="8">
        <v>0</v>
      </c>
      <c r="X232" s="8">
        <v>0</v>
      </c>
      <c r="Y232" s="8">
        <v>0</v>
      </c>
      <c r="Z232" s="8">
        <v>0</v>
      </c>
      <c r="AA232" s="8">
        <v>0</v>
      </c>
      <c r="AB232" s="8">
        <v>0</v>
      </c>
      <c r="AC232" s="8">
        <v>0</v>
      </c>
      <c r="AD232" s="8">
        <v>0</v>
      </c>
    </row>
    <row r="233" spans="1:30" ht="37.5" hidden="1" x14ac:dyDescent="0.25">
      <c r="A233" s="6">
        <v>1222</v>
      </c>
      <c r="B233" s="7" t="s">
        <v>336</v>
      </c>
      <c r="C233" s="7" t="s">
        <v>306</v>
      </c>
      <c r="D233" s="8">
        <v>0.55232394366197191</v>
      </c>
      <c r="E233" s="7" t="s">
        <v>338</v>
      </c>
      <c r="F233" s="7" t="str">
        <f t="shared" si="3"/>
        <v>WK1</v>
      </c>
      <c r="G233" s="8">
        <v>0</v>
      </c>
      <c r="H233" s="8">
        <v>0</v>
      </c>
      <c r="I233" s="8">
        <v>0</v>
      </c>
      <c r="J233" s="8">
        <v>0</v>
      </c>
      <c r="K233" s="8">
        <v>0</v>
      </c>
      <c r="L233" s="8">
        <v>0</v>
      </c>
      <c r="M233" s="8">
        <v>0</v>
      </c>
      <c r="N233" s="8">
        <v>0.1</v>
      </c>
      <c r="O233" s="8">
        <v>0.25</v>
      </c>
      <c r="P233" s="8">
        <v>0.75</v>
      </c>
      <c r="Q233" s="8">
        <v>1</v>
      </c>
      <c r="R233" s="8">
        <v>1</v>
      </c>
      <c r="S233" s="8">
        <v>0.5</v>
      </c>
      <c r="T233" s="8">
        <v>0.5</v>
      </c>
      <c r="U233" s="8">
        <v>1</v>
      </c>
      <c r="V233" s="8">
        <v>1</v>
      </c>
      <c r="W233" s="8">
        <v>0.5</v>
      </c>
      <c r="X233" s="8">
        <v>0.5</v>
      </c>
      <c r="Y233" s="8">
        <v>0</v>
      </c>
      <c r="Z233" s="8">
        <v>0</v>
      </c>
      <c r="AA233" s="8">
        <v>0</v>
      </c>
      <c r="AB233" s="8">
        <v>0</v>
      </c>
      <c r="AC233" s="8">
        <v>0</v>
      </c>
      <c r="AD233" s="8">
        <v>0</v>
      </c>
    </row>
    <row r="234" spans="1:30" ht="37.5" hidden="1" x14ac:dyDescent="0.25">
      <c r="A234" s="6">
        <v>1223</v>
      </c>
      <c r="B234" s="7" t="s">
        <v>185</v>
      </c>
      <c r="C234" s="7" t="s">
        <v>306</v>
      </c>
      <c r="D234" s="8">
        <v>0.10299999999999999</v>
      </c>
      <c r="E234" s="7" t="s">
        <v>339</v>
      </c>
      <c r="F234" s="7" t="str">
        <f t="shared" si="3"/>
        <v>WK1</v>
      </c>
      <c r="G234" s="8">
        <v>0</v>
      </c>
      <c r="H234" s="8">
        <v>0</v>
      </c>
      <c r="I234" s="8">
        <v>0</v>
      </c>
      <c r="J234" s="8">
        <v>0</v>
      </c>
      <c r="K234" s="8">
        <v>0</v>
      </c>
      <c r="L234" s="8">
        <v>0</v>
      </c>
      <c r="M234" s="8">
        <v>0</v>
      </c>
      <c r="N234" s="8">
        <v>0.1</v>
      </c>
      <c r="O234" s="8">
        <v>0.25</v>
      </c>
      <c r="P234" s="8">
        <v>0.75</v>
      </c>
      <c r="Q234" s="8">
        <v>1</v>
      </c>
      <c r="R234" s="8">
        <v>1</v>
      </c>
      <c r="S234" s="8">
        <v>0.5</v>
      </c>
      <c r="T234" s="8">
        <v>0.5</v>
      </c>
      <c r="U234" s="8">
        <v>1</v>
      </c>
      <c r="V234" s="8">
        <v>1</v>
      </c>
      <c r="W234" s="8">
        <v>0.5</v>
      </c>
      <c r="X234" s="8">
        <v>0.5</v>
      </c>
      <c r="Y234" s="8">
        <v>0</v>
      </c>
      <c r="Z234" s="8">
        <v>0</v>
      </c>
      <c r="AA234" s="8">
        <v>0</v>
      </c>
      <c r="AB234" s="8">
        <v>0</v>
      </c>
      <c r="AC234" s="8">
        <v>0</v>
      </c>
      <c r="AD234" s="8">
        <v>0</v>
      </c>
    </row>
    <row r="235" spans="1:30" ht="37.5" hidden="1" x14ac:dyDescent="0.25">
      <c r="A235" s="8">
        <v>1223</v>
      </c>
      <c r="B235" s="7" t="s">
        <v>185</v>
      </c>
      <c r="C235" s="7" t="s">
        <v>306</v>
      </c>
      <c r="D235" s="8">
        <v>0.10299999999999999</v>
      </c>
      <c r="E235" s="7" t="s">
        <v>340</v>
      </c>
      <c r="F235" s="7" t="str">
        <f t="shared" si="3"/>
        <v>Wk2</v>
      </c>
      <c r="G235" s="8">
        <v>0</v>
      </c>
      <c r="H235" s="8">
        <v>0</v>
      </c>
      <c r="I235" s="8">
        <v>0</v>
      </c>
      <c r="J235" s="8">
        <v>0</v>
      </c>
      <c r="K235" s="8">
        <v>0</v>
      </c>
      <c r="L235" s="8">
        <v>0</v>
      </c>
      <c r="M235" s="8">
        <v>0</v>
      </c>
      <c r="N235" s="8">
        <v>0</v>
      </c>
      <c r="O235" s="8">
        <v>0</v>
      </c>
      <c r="P235" s="8">
        <v>0</v>
      </c>
      <c r="Q235" s="8">
        <v>0</v>
      </c>
      <c r="R235" s="8">
        <v>0</v>
      </c>
      <c r="S235" s="8">
        <v>0</v>
      </c>
      <c r="T235" s="8">
        <v>0</v>
      </c>
      <c r="U235" s="8">
        <v>0</v>
      </c>
      <c r="V235" s="8">
        <v>0</v>
      </c>
      <c r="W235" s="8">
        <v>0</v>
      </c>
      <c r="X235" s="8">
        <v>0</v>
      </c>
      <c r="Y235" s="8">
        <v>0</v>
      </c>
      <c r="Z235" s="8">
        <v>0</v>
      </c>
      <c r="AA235" s="8">
        <v>0</v>
      </c>
      <c r="AB235" s="8">
        <v>0</v>
      </c>
      <c r="AC235" s="8">
        <v>0</v>
      </c>
      <c r="AD235" s="8">
        <v>0</v>
      </c>
    </row>
    <row r="236" spans="1:30" ht="37.5" hidden="1" x14ac:dyDescent="0.25">
      <c r="A236" s="6">
        <v>1224</v>
      </c>
      <c r="B236" s="7" t="s">
        <v>215</v>
      </c>
      <c r="C236" s="7" t="s">
        <v>341</v>
      </c>
      <c r="D236" s="8">
        <v>0.18984126984457136</v>
      </c>
      <c r="E236" s="7" t="s">
        <v>342</v>
      </c>
      <c r="F236" s="7" t="str">
        <f t="shared" si="3"/>
        <v>WK1</v>
      </c>
      <c r="G236" s="8">
        <v>1</v>
      </c>
      <c r="H236" s="8">
        <v>1</v>
      </c>
      <c r="I236" s="8">
        <v>1</v>
      </c>
      <c r="J236" s="8">
        <v>1</v>
      </c>
      <c r="K236" s="8">
        <v>1</v>
      </c>
      <c r="L236" s="8">
        <v>1</v>
      </c>
      <c r="M236" s="8">
        <v>1</v>
      </c>
      <c r="N236" s="8">
        <v>0.5</v>
      </c>
      <c r="O236" s="8">
        <v>0.25</v>
      </c>
      <c r="P236" s="8">
        <v>0</v>
      </c>
      <c r="Q236" s="8">
        <v>0</v>
      </c>
      <c r="R236" s="8">
        <v>0</v>
      </c>
      <c r="S236" s="8">
        <v>0</v>
      </c>
      <c r="T236" s="8">
        <v>0</v>
      </c>
      <c r="U236" s="8">
        <v>0</v>
      </c>
      <c r="V236" s="8">
        <v>0</v>
      </c>
      <c r="W236" s="8">
        <v>0</v>
      </c>
      <c r="X236" s="8">
        <v>0</v>
      </c>
      <c r="Y236" s="8">
        <v>0</v>
      </c>
      <c r="Z236" s="8">
        <v>0</v>
      </c>
      <c r="AA236" s="8">
        <v>0</v>
      </c>
      <c r="AB236" s="8">
        <v>0</v>
      </c>
      <c r="AC236" s="8">
        <v>0.25</v>
      </c>
      <c r="AD236" s="8">
        <v>0.75</v>
      </c>
    </row>
    <row r="237" spans="1:30" ht="37.5" hidden="1" x14ac:dyDescent="0.25">
      <c r="A237" s="6">
        <v>1225</v>
      </c>
      <c r="B237" s="7" t="s">
        <v>38</v>
      </c>
      <c r="C237" s="7" t="s">
        <v>341</v>
      </c>
      <c r="D237" s="8">
        <v>0.12583025830258301</v>
      </c>
      <c r="E237" s="7" t="s">
        <v>343</v>
      </c>
      <c r="F237" s="7" t="str">
        <f t="shared" si="3"/>
        <v>WK1</v>
      </c>
      <c r="G237" s="8">
        <v>0</v>
      </c>
      <c r="H237" s="8">
        <v>0</v>
      </c>
      <c r="I237" s="8">
        <v>0</v>
      </c>
      <c r="J237" s="8">
        <v>0</v>
      </c>
      <c r="K237" s="8">
        <v>0</v>
      </c>
      <c r="L237" s="8">
        <v>0</v>
      </c>
      <c r="M237" s="8">
        <v>0</v>
      </c>
      <c r="N237" s="8">
        <v>0</v>
      </c>
      <c r="O237" s="8">
        <v>0</v>
      </c>
      <c r="P237" s="8">
        <v>1</v>
      </c>
      <c r="Q237" s="8">
        <v>1</v>
      </c>
      <c r="R237" s="8">
        <v>1</v>
      </c>
      <c r="S237" s="8">
        <v>1</v>
      </c>
      <c r="T237" s="8">
        <v>1</v>
      </c>
      <c r="U237" s="8">
        <v>1</v>
      </c>
      <c r="V237" s="8">
        <v>1</v>
      </c>
      <c r="W237" s="8">
        <v>1</v>
      </c>
      <c r="X237" s="8">
        <v>0</v>
      </c>
      <c r="Y237" s="8">
        <v>0</v>
      </c>
      <c r="Z237" s="8">
        <v>0</v>
      </c>
      <c r="AA237" s="8">
        <v>0</v>
      </c>
      <c r="AB237" s="8">
        <v>0</v>
      </c>
      <c r="AC237" s="8">
        <v>0</v>
      </c>
      <c r="AD237" s="8">
        <v>0</v>
      </c>
    </row>
    <row r="238" spans="1:30" ht="37.5" hidden="1" x14ac:dyDescent="0.25">
      <c r="A238" s="6">
        <v>1226</v>
      </c>
      <c r="B238" s="7" t="s">
        <v>41</v>
      </c>
      <c r="C238" s="7" t="s">
        <v>341</v>
      </c>
      <c r="D238" s="8">
        <v>0.11365313653136529</v>
      </c>
      <c r="E238" s="7" t="s">
        <v>344</v>
      </c>
      <c r="F238" s="7" t="str">
        <f t="shared" si="3"/>
        <v>WK1</v>
      </c>
      <c r="G238" s="8">
        <v>0</v>
      </c>
      <c r="H238" s="8">
        <v>0</v>
      </c>
      <c r="I238" s="8">
        <v>0</v>
      </c>
      <c r="J238" s="8">
        <v>0</v>
      </c>
      <c r="K238" s="8">
        <v>0</v>
      </c>
      <c r="L238" s="8">
        <v>0</v>
      </c>
      <c r="M238" s="8">
        <v>0</v>
      </c>
      <c r="N238" s="8">
        <v>0</v>
      </c>
      <c r="O238" s="8">
        <v>0</v>
      </c>
      <c r="P238" s="8">
        <v>1</v>
      </c>
      <c r="Q238" s="8">
        <v>1</v>
      </c>
      <c r="R238" s="8">
        <v>1</v>
      </c>
      <c r="S238" s="8">
        <v>1</v>
      </c>
      <c r="T238" s="8">
        <v>1</v>
      </c>
      <c r="U238" s="8">
        <v>1</v>
      </c>
      <c r="V238" s="8">
        <v>1</v>
      </c>
      <c r="W238" s="8">
        <v>1</v>
      </c>
      <c r="X238" s="8">
        <v>0</v>
      </c>
      <c r="Y238" s="8">
        <v>0</v>
      </c>
      <c r="Z238" s="8">
        <v>0</v>
      </c>
      <c r="AA238" s="8">
        <v>0</v>
      </c>
      <c r="AB238" s="8">
        <v>0</v>
      </c>
      <c r="AC238" s="8">
        <v>0</v>
      </c>
      <c r="AD238" s="8">
        <v>0</v>
      </c>
    </row>
    <row r="239" spans="1:30" ht="37.5" hidden="1" x14ac:dyDescent="0.25">
      <c r="A239" s="6">
        <v>1227</v>
      </c>
      <c r="B239" s="7" t="s">
        <v>43</v>
      </c>
      <c r="C239" s="7" t="s">
        <v>341</v>
      </c>
      <c r="D239" s="8">
        <v>0.11365313653136529</v>
      </c>
      <c r="E239" s="7" t="s">
        <v>345</v>
      </c>
      <c r="F239" s="7" t="str">
        <f t="shared" si="3"/>
        <v>WK1</v>
      </c>
      <c r="G239" s="8">
        <v>0</v>
      </c>
      <c r="H239" s="8">
        <v>0</v>
      </c>
      <c r="I239" s="8">
        <v>0</v>
      </c>
      <c r="J239" s="8">
        <v>0</v>
      </c>
      <c r="K239" s="8">
        <v>0</v>
      </c>
      <c r="L239" s="8">
        <v>0</v>
      </c>
      <c r="M239" s="8">
        <v>0</v>
      </c>
      <c r="N239" s="8">
        <v>0</v>
      </c>
      <c r="O239" s="8">
        <v>0</v>
      </c>
      <c r="P239" s="8">
        <v>1</v>
      </c>
      <c r="Q239" s="8">
        <v>1</v>
      </c>
      <c r="R239" s="8">
        <v>1</v>
      </c>
      <c r="S239" s="8">
        <v>1</v>
      </c>
      <c r="T239" s="8">
        <v>1</v>
      </c>
      <c r="U239" s="8">
        <v>1</v>
      </c>
      <c r="V239" s="8">
        <v>1</v>
      </c>
      <c r="W239" s="8">
        <v>1</v>
      </c>
      <c r="X239" s="8">
        <v>0</v>
      </c>
      <c r="Y239" s="8">
        <v>0</v>
      </c>
      <c r="Z239" s="8">
        <v>0</v>
      </c>
      <c r="AA239" s="8">
        <v>0</v>
      </c>
      <c r="AB239" s="8">
        <v>0</v>
      </c>
      <c r="AC239" s="8">
        <v>0</v>
      </c>
      <c r="AD239" s="8">
        <v>0</v>
      </c>
    </row>
    <row r="240" spans="1:30" ht="37.5" hidden="1" x14ac:dyDescent="0.25">
      <c r="A240" s="6">
        <v>1228</v>
      </c>
      <c r="B240" s="7" t="s">
        <v>45</v>
      </c>
      <c r="C240" s="7" t="s">
        <v>341</v>
      </c>
      <c r="D240" s="8">
        <v>0.12100000000000001</v>
      </c>
      <c r="E240" s="7" t="s">
        <v>346</v>
      </c>
      <c r="F240" s="7" t="str">
        <f t="shared" si="3"/>
        <v>WK1</v>
      </c>
      <c r="G240" s="8">
        <v>0</v>
      </c>
      <c r="H240" s="8">
        <v>0</v>
      </c>
      <c r="I240" s="8">
        <v>0</v>
      </c>
      <c r="J240" s="8">
        <v>0</v>
      </c>
      <c r="K240" s="8">
        <v>0</v>
      </c>
      <c r="L240" s="8">
        <v>0</v>
      </c>
      <c r="M240" s="8">
        <v>0</v>
      </c>
      <c r="N240" s="8">
        <v>0</v>
      </c>
      <c r="O240" s="8">
        <v>0</v>
      </c>
      <c r="P240" s="8">
        <v>1</v>
      </c>
      <c r="Q240" s="8">
        <v>1</v>
      </c>
      <c r="R240" s="8">
        <v>1</v>
      </c>
      <c r="S240" s="8">
        <v>1</v>
      </c>
      <c r="T240" s="8">
        <v>1</v>
      </c>
      <c r="U240" s="8">
        <v>1</v>
      </c>
      <c r="V240" s="8">
        <v>1</v>
      </c>
      <c r="W240" s="8">
        <v>1</v>
      </c>
      <c r="X240" s="8">
        <v>0</v>
      </c>
      <c r="Y240" s="8">
        <v>0</v>
      </c>
      <c r="Z240" s="8">
        <v>0</v>
      </c>
      <c r="AA240" s="8">
        <v>0</v>
      </c>
      <c r="AB240" s="8">
        <v>0</v>
      </c>
      <c r="AC240" s="8">
        <v>0</v>
      </c>
      <c r="AD240" s="8">
        <v>0</v>
      </c>
    </row>
    <row r="241" spans="1:30" ht="37.5" hidden="1" x14ac:dyDescent="0.25">
      <c r="A241" s="6">
        <v>1229</v>
      </c>
      <c r="B241" s="7" t="s">
        <v>80</v>
      </c>
      <c r="C241" s="7" t="s">
        <v>341</v>
      </c>
      <c r="D241" s="8">
        <v>0.05</v>
      </c>
      <c r="E241" s="7" t="s">
        <v>347</v>
      </c>
      <c r="F241" s="7" t="str">
        <f t="shared" si="3"/>
        <v>WK1</v>
      </c>
      <c r="G241" s="8">
        <v>0</v>
      </c>
      <c r="H241" s="8">
        <v>0</v>
      </c>
      <c r="I241" s="8">
        <v>0</v>
      </c>
      <c r="J241" s="8">
        <v>0</v>
      </c>
      <c r="K241" s="8">
        <v>0</v>
      </c>
      <c r="L241" s="8">
        <v>0</v>
      </c>
      <c r="M241" s="8">
        <v>0</v>
      </c>
      <c r="N241" s="8">
        <v>0</v>
      </c>
      <c r="O241" s="8">
        <v>0</v>
      </c>
      <c r="P241" s="8">
        <v>1</v>
      </c>
      <c r="Q241" s="8">
        <v>1</v>
      </c>
      <c r="R241" s="8">
        <v>1</v>
      </c>
      <c r="S241" s="8">
        <v>1</v>
      </c>
      <c r="T241" s="8">
        <v>1</v>
      </c>
      <c r="U241" s="8">
        <v>1</v>
      </c>
      <c r="V241" s="8">
        <v>1</v>
      </c>
      <c r="W241" s="8">
        <v>1</v>
      </c>
      <c r="X241" s="8">
        <v>0</v>
      </c>
      <c r="Y241" s="8">
        <v>0</v>
      </c>
      <c r="Z241" s="8">
        <v>0</v>
      </c>
      <c r="AA241" s="8">
        <v>0</v>
      </c>
      <c r="AB241" s="8">
        <v>0</v>
      </c>
      <c r="AC241" s="8">
        <v>0</v>
      </c>
      <c r="AD241" s="8">
        <v>0</v>
      </c>
    </row>
    <row r="242" spans="1:30" ht="37.5" hidden="1" x14ac:dyDescent="0.25">
      <c r="A242" s="6">
        <v>1230</v>
      </c>
      <c r="B242" s="7" t="s">
        <v>53</v>
      </c>
      <c r="C242" s="7" t="s">
        <v>341</v>
      </c>
      <c r="D242" s="8">
        <v>0.13</v>
      </c>
      <c r="E242" s="7" t="s">
        <v>348</v>
      </c>
      <c r="F242" s="7" t="str">
        <f t="shared" si="3"/>
        <v>WK1</v>
      </c>
      <c r="G242" s="8">
        <v>0</v>
      </c>
      <c r="H242" s="8">
        <v>0</v>
      </c>
      <c r="I242" s="8">
        <v>0</v>
      </c>
      <c r="J242" s="8">
        <v>0</v>
      </c>
      <c r="K242" s="8">
        <v>0</v>
      </c>
      <c r="L242" s="8">
        <v>0</v>
      </c>
      <c r="M242" s="8">
        <v>0</v>
      </c>
      <c r="N242" s="8">
        <v>0</v>
      </c>
      <c r="O242" s="8">
        <v>0</v>
      </c>
      <c r="P242" s="8">
        <v>1</v>
      </c>
      <c r="Q242" s="8">
        <v>1</v>
      </c>
      <c r="R242" s="8">
        <v>1</v>
      </c>
      <c r="S242" s="8">
        <v>1</v>
      </c>
      <c r="T242" s="8">
        <v>1</v>
      </c>
      <c r="U242" s="8">
        <v>1</v>
      </c>
      <c r="V242" s="8">
        <v>1</v>
      </c>
      <c r="W242" s="8">
        <v>1</v>
      </c>
      <c r="X242" s="8">
        <v>0</v>
      </c>
      <c r="Y242" s="8">
        <v>0</v>
      </c>
      <c r="Z242" s="8">
        <v>0</v>
      </c>
      <c r="AA242" s="8">
        <v>0</v>
      </c>
      <c r="AB242" s="8">
        <v>0</v>
      </c>
      <c r="AC242" s="8">
        <v>0</v>
      </c>
      <c r="AD242" s="8">
        <v>0</v>
      </c>
    </row>
    <row r="243" spans="1:30" ht="37.5" hidden="1" x14ac:dyDescent="0.25">
      <c r="A243" s="6">
        <v>1231</v>
      </c>
      <c r="B243" s="7" t="s">
        <v>239</v>
      </c>
      <c r="C243" s="7" t="s">
        <v>341</v>
      </c>
      <c r="D243" s="8">
        <v>0.18309859154929581</v>
      </c>
      <c r="E243" s="7" t="s">
        <v>349</v>
      </c>
      <c r="F243" s="7" t="str">
        <f t="shared" si="3"/>
        <v>WK1</v>
      </c>
      <c r="G243" s="8">
        <v>0</v>
      </c>
      <c r="H243" s="8">
        <v>0</v>
      </c>
      <c r="I243" s="8">
        <v>0</v>
      </c>
      <c r="J243" s="8">
        <v>0</v>
      </c>
      <c r="K243" s="8">
        <v>0</v>
      </c>
      <c r="L243" s="8">
        <v>0</v>
      </c>
      <c r="M243" s="8">
        <v>0</v>
      </c>
      <c r="N243" s="8">
        <v>0.1</v>
      </c>
      <c r="O243" s="8">
        <v>0.25</v>
      </c>
      <c r="P243" s="8">
        <v>0.75</v>
      </c>
      <c r="Q243" s="8">
        <v>1</v>
      </c>
      <c r="R243" s="8">
        <v>1</v>
      </c>
      <c r="S243" s="8">
        <v>0.5</v>
      </c>
      <c r="T243" s="8">
        <v>0.5</v>
      </c>
      <c r="U243" s="8">
        <v>1</v>
      </c>
      <c r="V243" s="8">
        <v>1</v>
      </c>
      <c r="W243" s="8">
        <v>0.5</v>
      </c>
      <c r="X243" s="8">
        <v>0.5</v>
      </c>
      <c r="Y243" s="8">
        <v>0</v>
      </c>
      <c r="Z243" s="8">
        <v>0</v>
      </c>
      <c r="AA243" s="8">
        <v>0</v>
      </c>
      <c r="AB243" s="8">
        <v>0</v>
      </c>
      <c r="AC243" s="8">
        <v>0</v>
      </c>
      <c r="AD243" s="8">
        <v>0</v>
      </c>
    </row>
    <row r="244" spans="1:30" ht="37.5" x14ac:dyDescent="0.25">
      <c r="A244" s="6">
        <v>1232</v>
      </c>
      <c r="B244" s="7" t="s">
        <v>57</v>
      </c>
      <c r="C244" s="7" t="s">
        <v>341</v>
      </c>
      <c r="D244" s="8">
        <v>0.1406060606060606</v>
      </c>
      <c r="E244" s="7" t="s">
        <v>350</v>
      </c>
      <c r="F244" s="7" t="str">
        <f t="shared" si="3"/>
        <v>WK1</v>
      </c>
      <c r="G244" s="8">
        <v>0</v>
      </c>
      <c r="H244" s="8">
        <v>0</v>
      </c>
      <c r="I244" s="8">
        <v>0</v>
      </c>
      <c r="J244" s="8">
        <v>0</v>
      </c>
      <c r="K244" s="8">
        <v>0</v>
      </c>
      <c r="L244" s="8">
        <v>0</v>
      </c>
      <c r="M244" s="8">
        <v>0.25</v>
      </c>
      <c r="N244" s="8">
        <v>1</v>
      </c>
      <c r="O244" s="8">
        <v>1</v>
      </c>
      <c r="P244" s="8">
        <v>0.25</v>
      </c>
      <c r="Q244" s="8">
        <v>0</v>
      </c>
      <c r="R244" s="8">
        <v>0.25</v>
      </c>
      <c r="S244" s="8">
        <v>1</v>
      </c>
      <c r="T244" s="8">
        <v>1</v>
      </c>
      <c r="U244" s="8">
        <v>0.5</v>
      </c>
      <c r="V244" s="8">
        <v>0</v>
      </c>
      <c r="W244" s="8">
        <v>0</v>
      </c>
      <c r="X244" s="8">
        <v>0.5</v>
      </c>
      <c r="Y244" s="8">
        <v>1</v>
      </c>
      <c r="Z244" s="8">
        <v>1</v>
      </c>
      <c r="AA244" s="8">
        <v>0.5</v>
      </c>
      <c r="AB244" s="8">
        <v>0</v>
      </c>
      <c r="AC244" s="8">
        <v>0</v>
      </c>
      <c r="AD244" s="8">
        <v>0</v>
      </c>
    </row>
    <row r="245" spans="1:30" ht="37.5" hidden="1" x14ac:dyDescent="0.25">
      <c r="A245" s="6">
        <v>1233</v>
      </c>
      <c r="B245" s="7" t="s">
        <v>181</v>
      </c>
      <c r="C245" s="7" t="s">
        <v>341</v>
      </c>
      <c r="D245" s="8">
        <v>0.20848484848484858</v>
      </c>
      <c r="E245" s="7" t="s">
        <v>351</v>
      </c>
      <c r="F245" s="7" t="str">
        <f t="shared" si="3"/>
        <v>WK1</v>
      </c>
      <c r="G245" s="8">
        <v>0</v>
      </c>
      <c r="H245" s="8">
        <v>0</v>
      </c>
      <c r="I245" s="8">
        <v>0</v>
      </c>
      <c r="J245" s="8">
        <v>0</v>
      </c>
      <c r="K245" s="8">
        <v>0</v>
      </c>
      <c r="L245" s="8">
        <v>0</v>
      </c>
      <c r="M245" s="8">
        <v>0.25</v>
      </c>
      <c r="N245" s="8">
        <v>1</v>
      </c>
      <c r="O245" s="8">
        <v>1</v>
      </c>
      <c r="P245" s="8">
        <v>0.25</v>
      </c>
      <c r="Q245" s="8">
        <v>0</v>
      </c>
      <c r="R245" s="8">
        <v>0.25</v>
      </c>
      <c r="S245" s="8">
        <v>1</v>
      </c>
      <c r="T245" s="8">
        <v>1</v>
      </c>
      <c r="U245" s="8">
        <v>0.5</v>
      </c>
      <c r="V245" s="8">
        <v>0</v>
      </c>
      <c r="W245" s="8">
        <v>0</v>
      </c>
      <c r="X245" s="8">
        <v>0.5</v>
      </c>
      <c r="Y245" s="8">
        <v>1</v>
      </c>
      <c r="Z245" s="8">
        <v>1</v>
      </c>
      <c r="AA245" s="8">
        <v>0.5</v>
      </c>
      <c r="AB245" s="8">
        <v>0</v>
      </c>
      <c r="AC245" s="8">
        <v>0</v>
      </c>
      <c r="AD245" s="8">
        <v>0</v>
      </c>
    </row>
    <row r="246" spans="1:30" ht="37.5" hidden="1" x14ac:dyDescent="0.25">
      <c r="A246" s="6">
        <v>1234</v>
      </c>
      <c r="B246" s="7" t="s">
        <v>47</v>
      </c>
      <c r="C246" s="7" t="s">
        <v>341</v>
      </c>
      <c r="D246" s="8">
        <v>0.11</v>
      </c>
      <c r="E246" s="7" t="s">
        <v>352</v>
      </c>
      <c r="F246" s="7" t="str">
        <f t="shared" si="3"/>
        <v>WK1</v>
      </c>
      <c r="G246" s="8">
        <v>0</v>
      </c>
      <c r="H246" s="8">
        <v>0</v>
      </c>
      <c r="I246" s="8">
        <v>0</v>
      </c>
      <c r="J246" s="8">
        <v>0</v>
      </c>
      <c r="K246" s="8">
        <v>0</v>
      </c>
      <c r="L246" s="8">
        <v>0</v>
      </c>
      <c r="M246" s="8">
        <v>0</v>
      </c>
      <c r="N246" s="8">
        <v>0</v>
      </c>
      <c r="O246" s="8">
        <v>0</v>
      </c>
      <c r="P246" s="8">
        <v>0</v>
      </c>
      <c r="Q246" s="8">
        <v>0</v>
      </c>
      <c r="R246" s="8">
        <v>0</v>
      </c>
      <c r="S246" s="8">
        <v>0</v>
      </c>
      <c r="T246" s="8">
        <v>0</v>
      </c>
      <c r="U246" s="8">
        <v>0</v>
      </c>
      <c r="V246" s="8">
        <v>0</v>
      </c>
      <c r="W246" s="8">
        <v>0</v>
      </c>
      <c r="X246" s="8">
        <v>0</v>
      </c>
      <c r="Y246" s="8">
        <v>0</v>
      </c>
      <c r="Z246" s="8">
        <v>0</v>
      </c>
      <c r="AA246" s="8">
        <v>0</v>
      </c>
      <c r="AB246" s="8">
        <v>0</v>
      </c>
      <c r="AC246" s="8">
        <v>0</v>
      </c>
      <c r="AD246" s="8">
        <v>0</v>
      </c>
    </row>
    <row r="247" spans="1:30" ht="37.5" hidden="1" x14ac:dyDescent="0.25">
      <c r="A247" s="6">
        <v>1235</v>
      </c>
      <c r="B247" s="7" t="s">
        <v>59</v>
      </c>
      <c r="C247" s="7" t="s">
        <v>341</v>
      </c>
      <c r="D247" s="8">
        <v>4.8125000000000001E-2</v>
      </c>
      <c r="E247" s="7" t="s">
        <v>353</v>
      </c>
      <c r="F247" s="7" t="str">
        <f t="shared" si="3"/>
        <v>WK1</v>
      </c>
      <c r="G247" s="8">
        <v>0</v>
      </c>
      <c r="H247" s="8">
        <v>0</v>
      </c>
      <c r="I247" s="8">
        <v>0</v>
      </c>
      <c r="J247" s="8">
        <v>0</v>
      </c>
      <c r="K247" s="8">
        <v>0</v>
      </c>
      <c r="L247" s="8">
        <v>0</v>
      </c>
      <c r="M247" s="8">
        <v>0</v>
      </c>
      <c r="N247" s="8">
        <v>0</v>
      </c>
      <c r="O247" s="8">
        <v>0</v>
      </c>
      <c r="P247" s="8">
        <v>0.75</v>
      </c>
      <c r="Q247" s="8">
        <v>1</v>
      </c>
      <c r="R247" s="8">
        <v>1</v>
      </c>
      <c r="S247" s="8">
        <v>0.75</v>
      </c>
      <c r="T247" s="8">
        <v>0.75</v>
      </c>
      <c r="U247" s="8">
        <v>1</v>
      </c>
      <c r="V247" s="8">
        <v>1</v>
      </c>
      <c r="W247" s="8">
        <v>1</v>
      </c>
      <c r="X247" s="8">
        <v>0.75</v>
      </c>
      <c r="Y247" s="8">
        <v>0</v>
      </c>
      <c r="Z247" s="8">
        <v>0</v>
      </c>
      <c r="AA247" s="8">
        <v>0</v>
      </c>
      <c r="AB247" s="8">
        <v>0</v>
      </c>
      <c r="AC247" s="8">
        <v>0</v>
      </c>
      <c r="AD247" s="8">
        <v>0</v>
      </c>
    </row>
    <row r="248" spans="1:30" ht="37.5" hidden="1" x14ac:dyDescent="0.25">
      <c r="A248" s="6">
        <v>1237</v>
      </c>
      <c r="B248" s="7" t="s">
        <v>61</v>
      </c>
      <c r="C248" s="7" t="s">
        <v>341</v>
      </c>
      <c r="D248" s="8">
        <v>8.5555555555555551E-2</v>
      </c>
      <c r="E248" s="7" t="s">
        <v>354</v>
      </c>
      <c r="F248" s="7" t="str">
        <f t="shared" si="3"/>
        <v>Wk1</v>
      </c>
      <c r="G248" s="8">
        <v>0</v>
      </c>
      <c r="H248" s="8">
        <v>0</v>
      </c>
      <c r="I248" s="8">
        <v>0</v>
      </c>
      <c r="J248" s="8">
        <v>0</v>
      </c>
      <c r="K248" s="8">
        <v>0</v>
      </c>
      <c r="L248" s="8">
        <v>0</v>
      </c>
      <c r="M248" s="8">
        <v>0</v>
      </c>
      <c r="N248" s="8">
        <v>0.25</v>
      </c>
      <c r="O248" s="8">
        <v>0.5</v>
      </c>
      <c r="P248" s="8">
        <v>1</v>
      </c>
      <c r="Q248" s="8">
        <v>1</v>
      </c>
      <c r="R248" s="8">
        <v>1</v>
      </c>
      <c r="S248" s="8">
        <v>0.75</v>
      </c>
      <c r="T248" s="8">
        <v>0.75</v>
      </c>
      <c r="U248" s="8">
        <v>1</v>
      </c>
      <c r="V248" s="8">
        <v>1</v>
      </c>
      <c r="W248" s="8">
        <v>1</v>
      </c>
      <c r="X248" s="8">
        <v>0.5</v>
      </c>
      <c r="Y248" s="8">
        <v>0.25</v>
      </c>
      <c r="Z248" s="8">
        <v>0</v>
      </c>
      <c r="AA248" s="8">
        <v>0</v>
      </c>
      <c r="AB248" s="8">
        <v>0</v>
      </c>
      <c r="AC248" s="8">
        <v>0</v>
      </c>
      <c r="AD248" s="8">
        <v>0</v>
      </c>
    </row>
    <row r="249" spans="1:30" ht="37.5" hidden="1" x14ac:dyDescent="0.25">
      <c r="A249" s="6">
        <v>1238</v>
      </c>
      <c r="B249" s="7" t="s">
        <v>51</v>
      </c>
      <c r="C249" s="7" t="s">
        <v>341</v>
      </c>
      <c r="D249" s="8">
        <v>0.17</v>
      </c>
      <c r="E249" s="7" t="s">
        <v>355</v>
      </c>
      <c r="F249" s="7" t="str">
        <f t="shared" si="3"/>
        <v>Wk1</v>
      </c>
      <c r="G249" s="8">
        <v>0</v>
      </c>
      <c r="H249" s="8">
        <v>0</v>
      </c>
      <c r="I249" s="8">
        <v>0</v>
      </c>
      <c r="J249" s="8">
        <v>0</v>
      </c>
      <c r="K249" s="8">
        <v>0</v>
      </c>
      <c r="L249" s="8">
        <v>0</v>
      </c>
      <c r="M249" s="8">
        <v>0</v>
      </c>
      <c r="N249" s="8">
        <v>0</v>
      </c>
      <c r="O249" s="8">
        <v>0</v>
      </c>
      <c r="P249" s="8">
        <v>1</v>
      </c>
      <c r="Q249" s="8">
        <v>1</v>
      </c>
      <c r="R249" s="8">
        <v>1</v>
      </c>
      <c r="S249" s="8">
        <v>1</v>
      </c>
      <c r="T249" s="8">
        <v>1</v>
      </c>
      <c r="U249" s="8">
        <v>1</v>
      </c>
      <c r="V249" s="8">
        <v>1</v>
      </c>
      <c r="W249" s="8">
        <v>1</v>
      </c>
      <c r="X249" s="8">
        <v>0</v>
      </c>
      <c r="Y249" s="8">
        <v>0</v>
      </c>
      <c r="Z249" s="8">
        <v>0</v>
      </c>
      <c r="AA249" s="8">
        <v>0</v>
      </c>
      <c r="AB249" s="8">
        <v>0</v>
      </c>
      <c r="AC249" s="8">
        <v>0</v>
      </c>
      <c r="AD249" s="8">
        <v>0</v>
      </c>
    </row>
    <row r="250" spans="1:30" ht="37.5" hidden="1" x14ac:dyDescent="0.25">
      <c r="A250" s="6">
        <v>1239</v>
      </c>
      <c r="B250" s="7" t="s">
        <v>177</v>
      </c>
      <c r="C250" s="7" t="s">
        <v>341</v>
      </c>
      <c r="D250" s="8">
        <v>0.18309859154929581</v>
      </c>
      <c r="E250" s="7" t="s">
        <v>356</v>
      </c>
      <c r="F250" s="7" t="str">
        <f t="shared" si="3"/>
        <v>WK1</v>
      </c>
      <c r="G250" s="8">
        <v>0</v>
      </c>
      <c r="H250" s="8">
        <v>0</v>
      </c>
      <c r="I250" s="8">
        <v>0</v>
      </c>
      <c r="J250" s="8">
        <v>0</v>
      </c>
      <c r="K250" s="8">
        <v>0</v>
      </c>
      <c r="L250" s="8">
        <v>0</v>
      </c>
      <c r="M250" s="8">
        <v>0</v>
      </c>
      <c r="N250" s="8">
        <v>0.1</v>
      </c>
      <c r="O250" s="8">
        <v>0.25</v>
      </c>
      <c r="P250" s="8">
        <v>0.75</v>
      </c>
      <c r="Q250" s="8">
        <v>1</v>
      </c>
      <c r="R250" s="8">
        <v>1</v>
      </c>
      <c r="S250" s="8">
        <v>0.5</v>
      </c>
      <c r="T250" s="8">
        <v>0.5</v>
      </c>
      <c r="U250" s="8">
        <v>1</v>
      </c>
      <c r="V250" s="8">
        <v>1</v>
      </c>
      <c r="W250" s="8">
        <v>0.5</v>
      </c>
      <c r="X250" s="8">
        <v>0.5</v>
      </c>
      <c r="Y250" s="8">
        <v>0</v>
      </c>
      <c r="Z250" s="8">
        <v>0</v>
      </c>
      <c r="AA250" s="8">
        <v>0</v>
      </c>
      <c r="AB250" s="8">
        <v>0</v>
      </c>
      <c r="AC250" s="8">
        <v>0</v>
      </c>
      <c r="AD250" s="8">
        <v>0</v>
      </c>
    </row>
    <row r="251" spans="1:30" ht="37.5" hidden="1" x14ac:dyDescent="0.25">
      <c r="A251" s="6">
        <v>1240</v>
      </c>
      <c r="B251" s="7" t="s">
        <v>185</v>
      </c>
      <c r="C251" s="7" t="s">
        <v>341</v>
      </c>
      <c r="D251" s="8">
        <v>9.3144444444444432E-2</v>
      </c>
      <c r="E251" s="7" t="s">
        <v>357</v>
      </c>
      <c r="F251" s="7" t="str">
        <f t="shared" si="3"/>
        <v>WK1</v>
      </c>
      <c r="G251" s="8">
        <v>0</v>
      </c>
      <c r="H251" s="8">
        <v>0</v>
      </c>
      <c r="I251" s="8">
        <v>0</v>
      </c>
      <c r="J251" s="8">
        <v>0</v>
      </c>
      <c r="K251" s="8">
        <v>0</v>
      </c>
      <c r="L251" s="8">
        <v>0</v>
      </c>
      <c r="M251" s="8">
        <v>0</v>
      </c>
      <c r="N251" s="8">
        <v>0.25</v>
      </c>
      <c r="O251" s="8">
        <v>0.5</v>
      </c>
      <c r="P251" s="8">
        <v>1</v>
      </c>
      <c r="Q251" s="8">
        <v>1</v>
      </c>
      <c r="R251" s="8">
        <v>1</v>
      </c>
      <c r="S251" s="8">
        <v>0.75</v>
      </c>
      <c r="T251" s="8">
        <v>0.75</v>
      </c>
      <c r="U251" s="8">
        <v>1</v>
      </c>
      <c r="V251" s="8">
        <v>1</v>
      </c>
      <c r="W251" s="8">
        <v>1</v>
      </c>
      <c r="X251" s="8">
        <v>0.5</v>
      </c>
      <c r="Y251" s="8">
        <v>0.25</v>
      </c>
      <c r="Z251" s="8">
        <v>0</v>
      </c>
      <c r="AA251" s="8">
        <v>0</v>
      </c>
      <c r="AB251" s="8">
        <v>0</v>
      </c>
      <c r="AC251" s="8">
        <v>0</v>
      </c>
      <c r="AD251" s="8">
        <v>0</v>
      </c>
    </row>
    <row r="252" spans="1:30" ht="37.5" hidden="1" x14ac:dyDescent="0.25">
      <c r="A252" s="6">
        <v>1241</v>
      </c>
      <c r="B252" s="7" t="s">
        <v>55</v>
      </c>
      <c r="C252" s="7" t="s">
        <v>341</v>
      </c>
      <c r="D252" s="8">
        <v>0.11111111109333333</v>
      </c>
      <c r="E252" s="7" t="s">
        <v>358</v>
      </c>
      <c r="F252" s="7" t="str">
        <f t="shared" si="3"/>
        <v>WK1</v>
      </c>
      <c r="G252" s="8">
        <v>0</v>
      </c>
      <c r="H252" s="8">
        <v>0</v>
      </c>
      <c r="I252" s="8">
        <v>0</v>
      </c>
      <c r="J252" s="8">
        <v>0</v>
      </c>
      <c r="K252" s="8">
        <v>0</v>
      </c>
      <c r="L252" s="8">
        <v>0</v>
      </c>
      <c r="M252" s="8">
        <v>0.25</v>
      </c>
      <c r="N252" s="8">
        <v>1</v>
      </c>
      <c r="O252" s="8">
        <v>1</v>
      </c>
      <c r="P252" s="8">
        <v>0.25</v>
      </c>
      <c r="Q252" s="8">
        <v>0</v>
      </c>
      <c r="R252" s="8">
        <v>0.25</v>
      </c>
      <c r="S252" s="8">
        <v>1</v>
      </c>
      <c r="T252" s="8">
        <v>1</v>
      </c>
      <c r="U252" s="8">
        <v>0.5</v>
      </c>
      <c r="V252" s="8">
        <v>0</v>
      </c>
      <c r="W252" s="8">
        <v>0</v>
      </c>
      <c r="X252" s="8">
        <v>0.5</v>
      </c>
      <c r="Y252" s="8">
        <v>1</v>
      </c>
      <c r="Z252" s="8">
        <v>1</v>
      </c>
      <c r="AA252" s="8">
        <v>0.5</v>
      </c>
      <c r="AB252" s="8">
        <v>0</v>
      </c>
      <c r="AC252" s="8">
        <v>0</v>
      </c>
      <c r="AD252" s="8">
        <v>0</v>
      </c>
    </row>
    <row r="253" spans="1:30" ht="37.5" hidden="1" x14ac:dyDescent="0.25">
      <c r="A253" s="6">
        <v>1242</v>
      </c>
      <c r="B253" s="7" t="s">
        <v>53</v>
      </c>
      <c r="C253" s="7" t="s">
        <v>359</v>
      </c>
      <c r="D253" s="8">
        <v>0.14138686131386857</v>
      </c>
      <c r="E253" s="7" t="s">
        <v>307</v>
      </c>
      <c r="F253" s="7" t="str">
        <f t="shared" si="3"/>
        <v>WK1</v>
      </c>
      <c r="G253" s="8">
        <v>0</v>
      </c>
      <c r="H253" s="8">
        <v>0</v>
      </c>
      <c r="I253" s="8">
        <v>0</v>
      </c>
      <c r="J253" s="8">
        <v>0</v>
      </c>
      <c r="K253" s="8">
        <v>0</v>
      </c>
      <c r="L253" s="8">
        <v>0</v>
      </c>
      <c r="M253" s="8">
        <v>0</v>
      </c>
      <c r="N253" s="8">
        <v>0.1</v>
      </c>
      <c r="O253" s="8">
        <v>0.25</v>
      </c>
      <c r="P253" s="8">
        <v>0.75</v>
      </c>
      <c r="Q253" s="8">
        <v>1</v>
      </c>
      <c r="R253" s="8">
        <v>1</v>
      </c>
      <c r="S253" s="8">
        <v>0.5</v>
      </c>
      <c r="T253" s="8">
        <v>0.5</v>
      </c>
      <c r="U253" s="8">
        <v>1</v>
      </c>
      <c r="V253" s="8">
        <v>1</v>
      </c>
      <c r="W253" s="8">
        <v>0.5</v>
      </c>
      <c r="X253" s="8">
        <v>0.5</v>
      </c>
      <c r="Y253" s="8">
        <v>0</v>
      </c>
      <c r="Z253" s="8">
        <v>0</v>
      </c>
      <c r="AA253" s="8">
        <v>0</v>
      </c>
      <c r="AB253" s="8">
        <v>0</v>
      </c>
      <c r="AC253" s="8">
        <v>0</v>
      </c>
      <c r="AD253" s="8">
        <v>0</v>
      </c>
    </row>
    <row r="254" spans="1:30" ht="37.5" hidden="1" x14ac:dyDescent="0.25">
      <c r="A254" s="8">
        <v>1242</v>
      </c>
      <c r="B254" s="7" t="s">
        <v>53</v>
      </c>
      <c r="C254" s="7" t="s">
        <v>359</v>
      </c>
      <c r="D254" s="8">
        <v>0.14138686131386857</v>
      </c>
      <c r="E254" s="7" t="s">
        <v>308</v>
      </c>
      <c r="F254" s="7" t="str">
        <f t="shared" si="3"/>
        <v>Wk2</v>
      </c>
      <c r="G254" s="8">
        <v>0</v>
      </c>
      <c r="H254" s="8">
        <v>0</v>
      </c>
      <c r="I254" s="8">
        <v>0</v>
      </c>
      <c r="J254" s="8">
        <v>0</v>
      </c>
      <c r="K254" s="8">
        <v>0</v>
      </c>
      <c r="L254" s="8">
        <v>0</v>
      </c>
      <c r="M254" s="8">
        <v>0</v>
      </c>
      <c r="N254" s="8">
        <v>0</v>
      </c>
      <c r="O254" s="8">
        <v>0</v>
      </c>
      <c r="P254" s="8">
        <v>0.5</v>
      </c>
      <c r="Q254" s="8">
        <v>1</v>
      </c>
      <c r="R254" s="8">
        <v>1</v>
      </c>
      <c r="S254" s="8">
        <v>1</v>
      </c>
      <c r="T254" s="8">
        <v>0.75</v>
      </c>
      <c r="U254" s="8">
        <v>1</v>
      </c>
      <c r="V254" s="8">
        <v>0.75</v>
      </c>
      <c r="W254" s="8">
        <v>0</v>
      </c>
      <c r="X254" s="8">
        <v>0</v>
      </c>
      <c r="Y254" s="8">
        <v>0</v>
      </c>
      <c r="Z254" s="8">
        <v>0</v>
      </c>
      <c r="AA254" s="8">
        <v>0</v>
      </c>
      <c r="AB254" s="8">
        <v>0</v>
      </c>
      <c r="AC254" s="8">
        <v>0</v>
      </c>
      <c r="AD254" s="8">
        <v>0</v>
      </c>
    </row>
    <row r="255" spans="1:30" ht="50" hidden="1" x14ac:dyDescent="0.25">
      <c r="A255" s="6">
        <v>1243</v>
      </c>
      <c r="B255" s="7" t="s">
        <v>41</v>
      </c>
      <c r="C255" s="7" t="s">
        <v>359</v>
      </c>
      <c r="D255" s="8">
        <v>0.11</v>
      </c>
      <c r="E255" s="7" t="s">
        <v>309</v>
      </c>
      <c r="F255" s="7" t="str">
        <f t="shared" si="3"/>
        <v>WK1</v>
      </c>
      <c r="G255" s="8">
        <v>0</v>
      </c>
      <c r="H255" s="8">
        <v>0</v>
      </c>
      <c r="I255" s="8">
        <v>0</v>
      </c>
      <c r="J255" s="8">
        <v>0</v>
      </c>
      <c r="K255" s="8">
        <v>0</v>
      </c>
      <c r="L255" s="8">
        <v>0</v>
      </c>
      <c r="M255" s="8">
        <v>0</v>
      </c>
      <c r="N255" s="8">
        <v>0.25</v>
      </c>
      <c r="O255" s="8">
        <v>0.5</v>
      </c>
      <c r="P255" s="8">
        <v>1</v>
      </c>
      <c r="Q255" s="8">
        <v>1</v>
      </c>
      <c r="R255" s="8">
        <v>1</v>
      </c>
      <c r="S255" s="8">
        <v>0.75</v>
      </c>
      <c r="T255" s="8">
        <v>0.75</v>
      </c>
      <c r="U255" s="8">
        <v>1</v>
      </c>
      <c r="V255" s="8">
        <v>1</v>
      </c>
      <c r="W255" s="8">
        <v>1</v>
      </c>
      <c r="X255" s="8">
        <v>0.5</v>
      </c>
      <c r="Y255" s="8">
        <v>0.25</v>
      </c>
      <c r="Z255" s="8">
        <v>0</v>
      </c>
      <c r="AA255" s="8">
        <v>0</v>
      </c>
      <c r="AB255" s="8">
        <v>0</v>
      </c>
      <c r="AC255" s="8">
        <v>0</v>
      </c>
      <c r="AD255" s="8">
        <v>0</v>
      </c>
    </row>
    <row r="256" spans="1:30" ht="50" hidden="1" x14ac:dyDescent="0.25">
      <c r="A256" s="8">
        <v>1243</v>
      </c>
      <c r="B256" s="7" t="s">
        <v>41</v>
      </c>
      <c r="C256" s="7" t="s">
        <v>359</v>
      </c>
      <c r="D256" s="8">
        <v>0.11</v>
      </c>
      <c r="E256" s="7" t="s">
        <v>310</v>
      </c>
      <c r="F256" s="7" t="str">
        <f t="shared" si="3"/>
        <v>Wk2</v>
      </c>
      <c r="G256" s="8">
        <v>0</v>
      </c>
      <c r="H256" s="8">
        <v>0</v>
      </c>
      <c r="I256" s="8">
        <v>0</v>
      </c>
      <c r="J256" s="8">
        <v>0</v>
      </c>
      <c r="K256" s="8">
        <v>0</v>
      </c>
      <c r="L256" s="8">
        <v>0</v>
      </c>
      <c r="M256" s="8">
        <v>0</v>
      </c>
      <c r="N256" s="8">
        <v>0</v>
      </c>
      <c r="O256" s="8">
        <v>0</v>
      </c>
      <c r="P256" s="8">
        <v>0</v>
      </c>
      <c r="Q256" s="8">
        <v>0</v>
      </c>
      <c r="R256" s="8">
        <v>0</v>
      </c>
      <c r="S256" s="8">
        <v>0</v>
      </c>
      <c r="T256" s="8">
        <v>0</v>
      </c>
      <c r="U256" s="8">
        <v>0</v>
      </c>
      <c r="V256" s="8">
        <v>0</v>
      </c>
      <c r="W256" s="8">
        <v>0</v>
      </c>
      <c r="X256" s="8">
        <v>0</v>
      </c>
      <c r="Y256" s="8">
        <v>0</v>
      </c>
      <c r="Z256" s="8">
        <v>0</v>
      </c>
      <c r="AA256" s="8">
        <v>0</v>
      </c>
      <c r="AB256" s="8">
        <v>0</v>
      </c>
      <c r="AC256" s="8">
        <v>0</v>
      </c>
      <c r="AD256" s="8">
        <v>0</v>
      </c>
    </row>
    <row r="257" spans="1:30" ht="50" hidden="1" x14ac:dyDescent="0.25">
      <c r="A257" s="6">
        <v>1244</v>
      </c>
      <c r="B257" s="7" t="s">
        <v>80</v>
      </c>
      <c r="C257" s="7" t="s">
        <v>359</v>
      </c>
      <c r="D257" s="8">
        <v>5.2724358974358988E-2</v>
      </c>
      <c r="E257" s="7" t="s">
        <v>311</v>
      </c>
      <c r="F257" s="7" t="str">
        <f t="shared" si="3"/>
        <v>WK1</v>
      </c>
      <c r="G257" s="8">
        <v>0</v>
      </c>
      <c r="H257" s="8">
        <v>0</v>
      </c>
      <c r="I257" s="8">
        <v>0</v>
      </c>
      <c r="J257" s="8">
        <v>0</v>
      </c>
      <c r="K257" s="8">
        <v>0</v>
      </c>
      <c r="L257" s="8">
        <v>0</v>
      </c>
      <c r="M257" s="8">
        <v>0</v>
      </c>
      <c r="N257" s="8">
        <v>0.25</v>
      </c>
      <c r="O257" s="8">
        <v>0.5</v>
      </c>
      <c r="P257" s="8">
        <v>1</v>
      </c>
      <c r="Q257" s="8">
        <v>1</v>
      </c>
      <c r="R257" s="8">
        <v>1</v>
      </c>
      <c r="S257" s="8">
        <v>0.75</v>
      </c>
      <c r="T257" s="8">
        <v>0.75</v>
      </c>
      <c r="U257" s="8">
        <v>1</v>
      </c>
      <c r="V257" s="8">
        <v>1</v>
      </c>
      <c r="W257" s="8">
        <v>1</v>
      </c>
      <c r="X257" s="8">
        <v>0.5</v>
      </c>
      <c r="Y257" s="8">
        <v>0.25</v>
      </c>
      <c r="Z257" s="8">
        <v>0</v>
      </c>
      <c r="AA257" s="8">
        <v>0</v>
      </c>
      <c r="AB257" s="8">
        <v>0</v>
      </c>
      <c r="AC257" s="8">
        <v>0</v>
      </c>
      <c r="AD257" s="8">
        <v>0</v>
      </c>
    </row>
    <row r="258" spans="1:30" ht="50" hidden="1" x14ac:dyDescent="0.25">
      <c r="A258" s="8">
        <v>1244</v>
      </c>
      <c r="B258" s="7" t="s">
        <v>80</v>
      </c>
      <c r="C258" s="7" t="s">
        <v>359</v>
      </c>
      <c r="D258" s="8">
        <v>5.2724358974358988E-2</v>
      </c>
      <c r="E258" s="7" t="s">
        <v>312</v>
      </c>
      <c r="F258" s="7" t="str">
        <f t="shared" si="3"/>
        <v>Wk2</v>
      </c>
      <c r="G258" s="8">
        <v>0</v>
      </c>
      <c r="H258" s="8">
        <v>0</v>
      </c>
      <c r="I258" s="8">
        <v>0</v>
      </c>
      <c r="J258" s="8">
        <v>0</v>
      </c>
      <c r="K258" s="8">
        <v>0</v>
      </c>
      <c r="L258" s="8">
        <v>0</v>
      </c>
      <c r="M258" s="8">
        <v>0</v>
      </c>
      <c r="N258" s="8">
        <v>0</v>
      </c>
      <c r="O258" s="8">
        <v>0</v>
      </c>
      <c r="P258" s="8">
        <v>0.5</v>
      </c>
      <c r="Q258" s="8">
        <v>1</v>
      </c>
      <c r="R258" s="8">
        <v>1</v>
      </c>
      <c r="S258" s="8">
        <v>1</v>
      </c>
      <c r="T258" s="8">
        <v>0.75</v>
      </c>
      <c r="U258" s="8">
        <v>1</v>
      </c>
      <c r="V258" s="8">
        <v>0.75</v>
      </c>
      <c r="W258" s="8">
        <v>0</v>
      </c>
      <c r="X258" s="8">
        <v>0</v>
      </c>
      <c r="Y258" s="8">
        <v>0</v>
      </c>
      <c r="Z258" s="8">
        <v>0</v>
      </c>
      <c r="AA258" s="8">
        <v>0</v>
      </c>
      <c r="AB258" s="8">
        <v>0</v>
      </c>
      <c r="AC258" s="8">
        <v>0</v>
      </c>
      <c r="AD258" s="8">
        <v>0</v>
      </c>
    </row>
    <row r="259" spans="1:30" ht="50" x14ac:dyDescent="0.25">
      <c r="A259" s="6">
        <v>1245</v>
      </c>
      <c r="B259" s="7" t="s">
        <v>57</v>
      </c>
      <c r="C259" s="7" t="s">
        <v>359</v>
      </c>
      <c r="D259" s="8">
        <v>0.16228130597492771</v>
      </c>
      <c r="E259" s="7" t="s">
        <v>360</v>
      </c>
      <c r="F259" s="7" t="str">
        <f t="shared" si="3"/>
        <v>WK1</v>
      </c>
      <c r="G259" s="8">
        <v>0</v>
      </c>
      <c r="H259" s="8">
        <v>0</v>
      </c>
      <c r="I259" s="8">
        <v>0</v>
      </c>
      <c r="J259" s="8">
        <v>0</v>
      </c>
      <c r="K259" s="8">
        <v>0</v>
      </c>
      <c r="L259" s="8">
        <v>0</v>
      </c>
      <c r="M259" s="8">
        <v>0.25</v>
      </c>
      <c r="N259" s="8">
        <v>1</v>
      </c>
      <c r="O259" s="8">
        <v>1</v>
      </c>
      <c r="P259" s="8">
        <v>0.25</v>
      </c>
      <c r="Q259" s="8">
        <v>0</v>
      </c>
      <c r="R259" s="8">
        <v>0.25</v>
      </c>
      <c r="S259" s="8">
        <v>1</v>
      </c>
      <c r="T259" s="8">
        <v>1</v>
      </c>
      <c r="U259" s="8">
        <v>0.5</v>
      </c>
      <c r="V259" s="8">
        <v>0</v>
      </c>
      <c r="W259" s="8">
        <v>0</v>
      </c>
      <c r="X259" s="8">
        <v>0.5</v>
      </c>
      <c r="Y259" s="8">
        <v>1</v>
      </c>
      <c r="Z259" s="8">
        <v>1</v>
      </c>
      <c r="AA259" s="8">
        <v>0.5</v>
      </c>
      <c r="AB259" s="8">
        <v>0</v>
      </c>
      <c r="AC259" s="8">
        <v>0</v>
      </c>
      <c r="AD259" s="8">
        <v>0</v>
      </c>
    </row>
    <row r="260" spans="1:30" ht="50" hidden="1" x14ac:dyDescent="0.25">
      <c r="A260" s="8">
        <v>1245</v>
      </c>
      <c r="B260" s="7" t="s">
        <v>57</v>
      </c>
      <c r="C260" s="7" t="s">
        <v>359</v>
      </c>
      <c r="D260" s="8">
        <v>0.16228130597492771</v>
      </c>
      <c r="E260" s="7" t="s">
        <v>361</v>
      </c>
      <c r="F260" s="7" t="str">
        <f t="shared" si="3"/>
        <v>Wk2</v>
      </c>
      <c r="G260" s="8">
        <v>0</v>
      </c>
      <c r="H260" s="8">
        <v>0</v>
      </c>
      <c r="I260" s="8">
        <v>0</v>
      </c>
      <c r="J260" s="8">
        <v>0</v>
      </c>
      <c r="K260" s="8">
        <v>0</v>
      </c>
      <c r="L260" s="8">
        <v>0</v>
      </c>
      <c r="M260" s="8">
        <v>0</v>
      </c>
      <c r="N260" s="8">
        <v>0</v>
      </c>
      <c r="O260" s="8">
        <v>0</v>
      </c>
      <c r="P260" s="8">
        <v>0</v>
      </c>
      <c r="Q260" s="8">
        <v>0</v>
      </c>
      <c r="R260" s="8">
        <v>0</v>
      </c>
      <c r="S260" s="8">
        <v>0</v>
      </c>
      <c r="T260" s="8">
        <v>0</v>
      </c>
      <c r="U260" s="8">
        <v>0</v>
      </c>
      <c r="V260" s="8">
        <v>0</v>
      </c>
      <c r="W260" s="8">
        <v>0</v>
      </c>
      <c r="X260" s="8">
        <v>0</v>
      </c>
      <c r="Y260" s="8">
        <v>0</v>
      </c>
      <c r="Z260" s="8">
        <v>0</v>
      </c>
      <c r="AA260" s="8">
        <v>0</v>
      </c>
      <c r="AB260" s="8">
        <v>0</v>
      </c>
      <c r="AC260" s="8">
        <v>0</v>
      </c>
      <c r="AD260" s="8">
        <v>0</v>
      </c>
    </row>
    <row r="261" spans="1:30" ht="50" hidden="1" x14ac:dyDescent="0.25">
      <c r="A261" s="6">
        <v>1246</v>
      </c>
      <c r="B261" s="7" t="s">
        <v>55</v>
      </c>
      <c r="C261" s="7" t="s">
        <v>359</v>
      </c>
      <c r="D261" s="8">
        <v>9.4300867888138892E-2</v>
      </c>
      <c r="E261" s="7" t="s">
        <v>362</v>
      </c>
      <c r="F261" s="7" t="str">
        <f t="shared" si="3"/>
        <v>WK1</v>
      </c>
      <c r="G261" s="8">
        <v>0</v>
      </c>
      <c r="H261" s="8">
        <v>0</v>
      </c>
      <c r="I261" s="8">
        <v>0</v>
      </c>
      <c r="J261" s="8">
        <v>0</v>
      </c>
      <c r="K261" s="8">
        <v>0</v>
      </c>
      <c r="L261" s="8">
        <v>0</v>
      </c>
      <c r="M261" s="8">
        <v>0.25</v>
      </c>
      <c r="N261" s="8">
        <v>1</v>
      </c>
      <c r="O261" s="8">
        <v>1</v>
      </c>
      <c r="P261" s="8">
        <v>0.25</v>
      </c>
      <c r="Q261" s="8">
        <v>0</v>
      </c>
      <c r="R261" s="8">
        <v>0.25</v>
      </c>
      <c r="S261" s="8">
        <v>1</v>
      </c>
      <c r="T261" s="8">
        <v>1</v>
      </c>
      <c r="U261" s="8">
        <v>0.5</v>
      </c>
      <c r="V261" s="8">
        <v>0</v>
      </c>
      <c r="W261" s="8">
        <v>0</v>
      </c>
      <c r="X261" s="8">
        <v>0.5</v>
      </c>
      <c r="Y261" s="8">
        <v>1</v>
      </c>
      <c r="Z261" s="8">
        <v>1</v>
      </c>
      <c r="AA261" s="8">
        <v>0.5</v>
      </c>
      <c r="AB261" s="8">
        <v>0</v>
      </c>
      <c r="AC261" s="8">
        <v>0</v>
      </c>
      <c r="AD261" s="8">
        <v>0</v>
      </c>
    </row>
    <row r="262" spans="1:30" ht="50" hidden="1" x14ac:dyDescent="0.25">
      <c r="A262" s="8">
        <v>1246</v>
      </c>
      <c r="B262" s="7" t="s">
        <v>55</v>
      </c>
      <c r="C262" s="7" t="s">
        <v>359</v>
      </c>
      <c r="D262" s="8">
        <v>9.4300867888138892E-2</v>
      </c>
      <c r="E262" s="7" t="s">
        <v>363</v>
      </c>
      <c r="F262" s="7" t="str">
        <f t="shared" si="3"/>
        <v>Wk2</v>
      </c>
      <c r="G262" s="8">
        <v>0</v>
      </c>
      <c r="H262" s="8">
        <v>0</v>
      </c>
      <c r="I262" s="8">
        <v>0</v>
      </c>
      <c r="J262" s="8">
        <v>0</v>
      </c>
      <c r="K262" s="8">
        <v>0</v>
      </c>
      <c r="L262" s="8">
        <v>0</v>
      </c>
      <c r="M262" s="8">
        <v>0</v>
      </c>
      <c r="N262" s="8">
        <v>0</v>
      </c>
      <c r="O262" s="8">
        <v>0</v>
      </c>
      <c r="P262" s="8">
        <v>0</v>
      </c>
      <c r="Q262" s="8">
        <v>0</v>
      </c>
      <c r="R262" s="8">
        <v>0</v>
      </c>
      <c r="S262" s="8">
        <v>0</v>
      </c>
      <c r="T262" s="8">
        <v>0</v>
      </c>
      <c r="U262" s="8">
        <v>0</v>
      </c>
      <c r="V262" s="8">
        <v>0</v>
      </c>
      <c r="W262" s="8">
        <v>0</v>
      </c>
      <c r="X262" s="8">
        <v>0</v>
      </c>
      <c r="Y262" s="8">
        <v>0</v>
      </c>
      <c r="Z262" s="8">
        <v>0</v>
      </c>
      <c r="AA262" s="8">
        <v>0</v>
      </c>
      <c r="AB262" s="8">
        <v>0</v>
      </c>
      <c r="AC262" s="8">
        <v>0</v>
      </c>
      <c r="AD262" s="8">
        <v>0</v>
      </c>
    </row>
    <row r="263" spans="1:30" ht="37.5" hidden="1" x14ac:dyDescent="0.25">
      <c r="A263" s="6">
        <v>1247</v>
      </c>
      <c r="B263" s="7" t="s">
        <v>239</v>
      </c>
      <c r="C263" s="7" t="s">
        <v>359</v>
      </c>
      <c r="D263" s="8">
        <v>0.21830985915492959</v>
      </c>
      <c r="E263" s="7" t="s">
        <v>317</v>
      </c>
      <c r="F263" s="7" t="str">
        <f t="shared" si="3"/>
        <v>WK1</v>
      </c>
      <c r="G263" s="8">
        <v>0</v>
      </c>
      <c r="H263" s="8">
        <v>0</v>
      </c>
      <c r="I263" s="8">
        <v>0</v>
      </c>
      <c r="J263" s="8">
        <v>0</v>
      </c>
      <c r="K263" s="8">
        <v>0</v>
      </c>
      <c r="L263" s="8">
        <v>0</v>
      </c>
      <c r="M263" s="8">
        <v>0</v>
      </c>
      <c r="N263" s="8">
        <v>0.1</v>
      </c>
      <c r="O263" s="8">
        <v>0.25</v>
      </c>
      <c r="P263" s="8">
        <v>0.75</v>
      </c>
      <c r="Q263" s="8">
        <v>1</v>
      </c>
      <c r="R263" s="8">
        <v>1</v>
      </c>
      <c r="S263" s="8">
        <v>0.5</v>
      </c>
      <c r="T263" s="8">
        <v>0.5</v>
      </c>
      <c r="U263" s="8">
        <v>1</v>
      </c>
      <c r="V263" s="8">
        <v>1</v>
      </c>
      <c r="W263" s="8">
        <v>0.5</v>
      </c>
      <c r="X263" s="8">
        <v>0.5</v>
      </c>
      <c r="Y263" s="8">
        <v>0</v>
      </c>
      <c r="Z263" s="8">
        <v>0</v>
      </c>
      <c r="AA263" s="8">
        <v>0</v>
      </c>
      <c r="AB263" s="8">
        <v>0</v>
      </c>
      <c r="AC263" s="8">
        <v>0</v>
      </c>
      <c r="AD263" s="8">
        <v>0</v>
      </c>
    </row>
    <row r="264" spans="1:30" ht="37.5" hidden="1" x14ac:dyDescent="0.25">
      <c r="A264" s="8">
        <v>1247</v>
      </c>
      <c r="B264" s="7" t="s">
        <v>239</v>
      </c>
      <c r="C264" s="7" t="s">
        <v>359</v>
      </c>
      <c r="D264" s="8">
        <v>0.21830985915492959</v>
      </c>
      <c r="E264" s="7" t="s">
        <v>318</v>
      </c>
      <c r="F264" s="7" t="str">
        <f t="shared" si="3"/>
        <v>Wk2</v>
      </c>
      <c r="G264" s="8">
        <v>0</v>
      </c>
      <c r="H264" s="8">
        <v>0</v>
      </c>
      <c r="I264" s="8">
        <v>0</v>
      </c>
      <c r="J264" s="8">
        <v>0</v>
      </c>
      <c r="K264" s="8">
        <v>0</v>
      </c>
      <c r="L264" s="8">
        <v>0</v>
      </c>
      <c r="M264" s="8">
        <v>0</v>
      </c>
      <c r="N264" s="8">
        <v>0</v>
      </c>
      <c r="O264" s="8">
        <v>0</v>
      </c>
      <c r="P264" s="8">
        <v>0</v>
      </c>
      <c r="Q264" s="8">
        <v>0</v>
      </c>
      <c r="R264" s="8">
        <v>0</v>
      </c>
      <c r="S264" s="8">
        <v>0</v>
      </c>
      <c r="T264" s="8">
        <v>0</v>
      </c>
      <c r="U264" s="8">
        <v>0</v>
      </c>
      <c r="V264" s="8">
        <v>0</v>
      </c>
      <c r="W264" s="8">
        <v>0</v>
      </c>
      <c r="X264" s="8">
        <v>0</v>
      </c>
      <c r="Y264" s="8">
        <v>0</v>
      </c>
      <c r="Z264" s="8">
        <v>0</v>
      </c>
      <c r="AA264" s="8">
        <v>0</v>
      </c>
      <c r="AB264" s="8">
        <v>0</v>
      </c>
      <c r="AC264" s="8">
        <v>0</v>
      </c>
      <c r="AD264" s="8">
        <v>0</v>
      </c>
    </row>
    <row r="265" spans="1:30" ht="50" hidden="1" x14ac:dyDescent="0.25">
      <c r="A265" s="8">
        <v>1248</v>
      </c>
      <c r="B265" s="7" t="s">
        <v>319</v>
      </c>
      <c r="C265" s="7" t="s">
        <v>359</v>
      </c>
      <c r="D265" s="8">
        <v>0.21830985915492959</v>
      </c>
      <c r="E265" s="7" t="s">
        <v>320</v>
      </c>
      <c r="F265" s="7" t="str">
        <f t="shared" si="3"/>
        <v>Wk2</v>
      </c>
      <c r="G265" s="8">
        <v>0</v>
      </c>
      <c r="H265" s="8">
        <v>0</v>
      </c>
      <c r="I265" s="8">
        <v>0</v>
      </c>
      <c r="J265" s="8">
        <v>0</v>
      </c>
      <c r="K265" s="8">
        <v>0</v>
      </c>
      <c r="L265" s="8">
        <v>0</v>
      </c>
      <c r="M265" s="8">
        <v>0</v>
      </c>
      <c r="N265" s="8">
        <v>0</v>
      </c>
      <c r="O265" s="8">
        <v>0</v>
      </c>
      <c r="P265" s="8">
        <v>0</v>
      </c>
      <c r="Q265" s="8">
        <v>0</v>
      </c>
      <c r="R265" s="8">
        <v>0</v>
      </c>
      <c r="S265" s="8">
        <v>0</v>
      </c>
      <c r="T265" s="8">
        <v>0</v>
      </c>
      <c r="U265" s="8">
        <v>0</v>
      </c>
      <c r="V265" s="8">
        <v>0</v>
      </c>
      <c r="W265" s="8">
        <v>0</v>
      </c>
      <c r="X265" s="8">
        <v>0</v>
      </c>
      <c r="Y265" s="8">
        <v>0</v>
      </c>
      <c r="Z265" s="8">
        <v>0</v>
      </c>
      <c r="AA265" s="8">
        <v>0</v>
      </c>
      <c r="AB265" s="8">
        <v>0</v>
      </c>
      <c r="AC265" s="8">
        <v>0</v>
      </c>
      <c r="AD265" s="8">
        <v>0</v>
      </c>
    </row>
    <row r="266" spans="1:30" ht="50" hidden="1" x14ac:dyDescent="0.25">
      <c r="A266" s="6">
        <v>1248</v>
      </c>
      <c r="B266" s="7" t="s">
        <v>319</v>
      </c>
      <c r="C266" s="7" t="s">
        <v>359</v>
      </c>
      <c r="D266" s="8">
        <v>0.21830985915492959</v>
      </c>
      <c r="E266" s="7" t="s">
        <v>321</v>
      </c>
      <c r="F266" s="7" t="str">
        <f t="shared" ref="F266:F329" si="4">RIGHT(E266,3)</f>
        <v>Wk1</v>
      </c>
      <c r="G266" s="8">
        <v>0</v>
      </c>
      <c r="H266" s="8">
        <v>0</v>
      </c>
      <c r="I266" s="8">
        <v>0</v>
      </c>
      <c r="J266" s="8">
        <v>0</v>
      </c>
      <c r="K266" s="8">
        <v>0</v>
      </c>
      <c r="L266" s="8">
        <v>0</v>
      </c>
      <c r="M266" s="8">
        <v>0</v>
      </c>
      <c r="N266" s="8">
        <v>0.1</v>
      </c>
      <c r="O266" s="8">
        <v>0.25</v>
      </c>
      <c r="P266" s="8">
        <v>0.75</v>
      </c>
      <c r="Q266" s="8">
        <v>1</v>
      </c>
      <c r="R266" s="8">
        <v>1</v>
      </c>
      <c r="S266" s="8">
        <v>0.5</v>
      </c>
      <c r="T266" s="8">
        <v>0.5</v>
      </c>
      <c r="U266" s="8">
        <v>1</v>
      </c>
      <c r="V266" s="8">
        <v>1</v>
      </c>
      <c r="W266" s="8">
        <v>0.5</v>
      </c>
      <c r="X266" s="8">
        <v>0.5</v>
      </c>
      <c r="Y266" s="8">
        <v>0</v>
      </c>
      <c r="Z266" s="8">
        <v>0</v>
      </c>
      <c r="AA266" s="8">
        <v>0</v>
      </c>
      <c r="AB266" s="8">
        <v>0</v>
      </c>
      <c r="AC266" s="8">
        <v>0</v>
      </c>
      <c r="AD266" s="8">
        <v>0</v>
      </c>
    </row>
    <row r="267" spans="1:30" ht="37.5" hidden="1" x14ac:dyDescent="0.25">
      <c r="A267" s="6">
        <v>1249</v>
      </c>
      <c r="B267" s="7" t="s">
        <v>101</v>
      </c>
      <c r="C267" s="7" t="s">
        <v>359</v>
      </c>
      <c r="D267" s="8">
        <v>0.20985915492957746</v>
      </c>
      <c r="E267" s="7" t="s">
        <v>322</v>
      </c>
      <c r="F267" s="7" t="str">
        <f t="shared" si="4"/>
        <v>WK1</v>
      </c>
      <c r="G267" s="8">
        <v>0</v>
      </c>
      <c r="H267" s="8">
        <v>0</v>
      </c>
      <c r="I267" s="8">
        <v>0</v>
      </c>
      <c r="J267" s="8">
        <v>0</v>
      </c>
      <c r="K267" s="8">
        <v>0</v>
      </c>
      <c r="L267" s="8">
        <v>0</v>
      </c>
      <c r="M267" s="8">
        <v>0</v>
      </c>
      <c r="N267" s="8">
        <v>0.1</v>
      </c>
      <c r="O267" s="8">
        <v>0.25</v>
      </c>
      <c r="P267" s="8">
        <v>0.75</v>
      </c>
      <c r="Q267" s="8">
        <v>1</v>
      </c>
      <c r="R267" s="8">
        <v>1</v>
      </c>
      <c r="S267" s="8">
        <v>0.5</v>
      </c>
      <c r="T267" s="8">
        <v>0.5</v>
      </c>
      <c r="U267" s="8">
        <v>1</v>
      </c>
      <c r="V267" s="8">
        <v>1</v>
      </c>
      <c r="W267" s="8">
        <v>0.5</v>
      </c>
      <c r="X267" s="8">
        <v>0.5</v>
      </c>
      <c r="Y267" s="8">
        <v>0</v>
      </c>
      <c r="Z267" s="8">
        <v>0</v>
      </c>
      <c r="AA267" s="8">
        <v>0</v>
      </c>
      <c r="AB267" s="8">
        <v>0</v>
      </c>
      <c r="AC267" s="8">
        <v>0</v>
      </c>
      <c r="AD267" s="8">
        <v>0</v>
      </c>
    </row>
    <row r="268" spans="1:30" ht="37.5" hidden="1" x14ac:dyDescent="0.25">
      <c r="A268" s="8">
        <v>1249</v>
      </c>
      <c r="B268" s="7" t="s">
        <v>101</v>
      </c>
      <c r="C268" s="7" t="s">
        <v>359</v>
      </c>
      <c r="D268" s="8">
        <v>0.20985915492957746</v>
      </c>
      <c r="E268" s="7" t="s">
        <v>323</v>
      </c>
      <c r="F268" s="7" t="str">
        <f t="shared" si="4"/>
        <v>Wk2</v>
      </c>
      <c r="G268" s="8">
        <v>0</v>
      </c>
      <c r="H268" s="8">
        <v>0</v>
      </c>
      <c r="I268" s="8">
        <v>0</v>
      </c>
      <c r="J268" s="8">
        <v>0</v>
      </c>
      <c r="K268" s="8">
        <v>0</v>
      </c>
      <c r="L268" s="8">
        <v>0</v>
      </c>
      <c r="M268" s="8">
        <v>0</v>
      </c>
      <c r="N268" s="8">
        <v>0</v>
      </c>
      <c r="O268" s="8">
        <v>0</v>
      </c>
      <c r="P268" s="8">
        <v>0</v>
      </c>
      <c r="Q268" s="8">
        <v>0</v>
      </c>
      <c r="R268" s="8">
        <v>0</v>
      </c>
      <c r="S268" s="8">
        <v>0</v>
      </c>
      <c r="T268" s="8">
        <v>0</v>
      </c>
      <c r="U268" s="8">
        <v>0</v>
      </c>
      <c r="V268" s="8">
        <v>0</v>
      </c>
      <c r="W268" s="8">
        <v>0</v>
      </c>
      <c r="X268" s="8">
        <v>0</v>
      </c>
      <c r="Y268" s="8">
        <v>0</v>
      </c>
      <c r="Z268" s="8">
        <v>0</v>
      </c>
      <c r="AA268" s="8">
        <v>0</v>
      </c>
      <c r="AB268" s="8">
        <v>0</v>
      </c>
      <c r="AC268" s="8">
        <v>0</v>
      </c>
      <c r="AD268" s="8">
        <v>0</v>
      </c>
    </row>
    <row r="269" spans="1:30" ht="37.5" hidden="1" x14ac:dyDescent="0.25">
      <c r="A269" s="6">
        <v>1250</v>
      </c>
      <c r="B269" s="7" t="s">
        <v>47</v>
      </c>
      <c r="C269" s="7" t="s">
        <v>359</v>
      </c>
      <c r="D269" s="8">
        <v>0.11</v>
      </c>
      <c r="E269" s="7" t="s">
        <v>324</v>
      </c>
      <c r="F269" s="7" t="str">
        <f t="shared" si="4"/>
        <v>WK1</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row>
    <row r="270" spans="1:30" ht="37.5" hidden="1" x14ac:dyDescent="0.25">
      <c r="A270" s="8">
        <v>1250</v>
      </c>
      <c r="B270" s="7" t="s">
        <v>47</v>
      </c>
      <c r="C270" s="7" t="s">
        <v>359</v>
      </c>
      <c r="D270" s="8">
        <v>0.11</v>
      </c>
      <c r="E270" s="7" t="s">
        <v>325</v>
      </c>
      <c r="F270" s="7" t="str">
        <f t="shared" si="4"/>
        <v>Wk2</v>
      </c>
      <c r="G270" s="8">
        <v>0</v>
      </c>
      <c r="H270" s="8">
        <v>0</v>
      </c>
      <c r="I270" s="8">
        <v>0</v>
      </c>
      <c r="J270" s="8">
        <v>0</v>
      </c>
      <c r="K270" s="8">
        <v>0</v>
      </c>
      <c r="L270" s="8">
        <v>0</v>
      </c>
      <c r="M270" s="8">
        <v>0</v>
      </c>
      <c r="N270" s="8">
        <v>0</v>
      </c>
      <c r="O270" s="8">
        <v>0</v>
      </c>
      <c r="P270" s="8">
        <v>0</v>
      </c>
      <c r="Q270" s="8">
        <v>0</v>
      </c>
      <c r="R270" s="8">
        <v>0</v>
      </c>
      <c r="S270" s="8">
        <v>0</v>
      </c>
      <c r="T270" s="8">
        <v>0</v>
      </c>
      <c r="U270" s="8">
        <v>0</v>
      </c>
      <c r="V270" s="8">
        <v>0</v>
      </c>
      <c r="W270" s="8">
        <v>0</v>
      </c>
      <c r="X270" s="8">
        <v>0</v>
      </c>
      <c r="Y270" s="8">
        <v>0</v>
      </c>
      <c r="Z270" s="8">
        <v>0</v>
      </c>
      <c r="AA270" s="8">
        <v>0</v>
      </c>
      <c r="AB270" s="8">
        <v>0</v>
      </c>
      <c r="AC270" s="8">
        <v>0</v>
      </c>
      <c r="AD270" s="8">
        <v>0</v>
      </c>
    </row>
    <row r="271" spans="1:30" ht="50" hidden="1" x14ac:dyDescent="0.25">
      <c r="A271" s="6">
        <v>1251</v>
      </c>
      <c r="B271" s="7" t="s">
        <v>45</v>
      </c>
      <c r="C271" s="7" t="s">
        <v>359</v>
      </c>
      <c r="D271" s="8">
        <v>0.11550000000000001</v>
      </c>
      <c r="E271" s="7" t="s">
        <v>326</v>
      </c>
      <c r="F271" s="7" t="str">
        <f t="shared" si="4"/>
        <v>WK1</v>
      </c>
      <c r="G271" s="8">
        <v>0</v>
      </c>
      <c r="H271" s="8">
        <v>0</v>
      </c>
      <c r="I271" s="8">
        <v>0</v>
      </c>
      <c r="J271" s="8">
        <v>0</v>
      </c>
      <c r="K271" s="8">
        <v>0</v>
      </c>
      <c r="L271" s="8">
        <v>0</v>
      </c>
      <c r="M271" s="8">
        <v>0</v>
      </c>
      <c r="N271" s="8">
        <v>0</v>
      </c>
      <c r="O271" s="8">
        <v>0</v>
      </c>
      <c r="P271" s="8">
        <v>1</v>
      </c>
      <c r="Q271" s="8">
        <v>1</v>
      </c>
      <c r="R271" s="8">
        <v>1</v>
      </c>
      <c r="S271" s="8">
        <v>1</v>
      </c>
      <c r="T271" s="8">
        <v>1</v>
      </c>
      <c r="U271" s="8">
        <v>1</v>
      </c>
      <c r="V271" s="8">
        <v>1</v>
      </c>
      <c r="W271" s="8">
        <v>1</v>
      </c>
      <c r="X271" s="8">
        <v>0</v>
      </c>
      <c r="Y271" s="8">
        <v>0</v>
      </c>
      <c r="Z271" s="8">
        <v>0</v>
      </c>
      <c r="AA271" s="8">
        <v>0</v>
      </c>
      <c r="AB271" s="8">
        <v>0</v>
      </c>
      <c r="AC271" s="8">
        <v>0</v>
      </c>
      <c r="AD271" s="8">
        <v>0</v>
      </c>
    </row>
    <row r="272" spans="1:30" ht="50" hidden="1" x14ac:dyDescent="0.25">
      <c r="A272" s="8">
        <v>1251</v>
      </c>
      <c r="B272" s="7" t="s">
        <v>45</v>
      </c>
      <c r="C272" s="7" t="s">
        <v>359</v>
      </c>
      <c r="D272" s="8">
        <v>0.11550000000000001</v>
      </c>
      <c r="E272" s="7" t="s">
        <v>327</v>
      </c>
      <c r="F272" s="7" t="str">
        <f t="shared" si="4"/>
        <v>Wk2</v>
      </c>
      <c r="G272" s="8">
        <v>0</v>
      </c>
      <c r="H272" s="8">
        <v>0</v>
      </c>
      <c r="I272" s="8">
        <v>0</v>
      </c>
      <c r="J272" s="8">
        <v>0</v>
      </c>
      <c r="K272" s="8">
        <v>0</v>
      </c>
      <c r="L272" s="8">
        <v>0</v>
      </c>
      <c r="M272" s="8">
        <v>0</v>
      </c>
      <c r="N272" s="8">
        <v>0</v>
      </c>
      <c r="O272" s="8">
        <v>0</v>
      </c>
      <c r="P272" s="8">
        <v>0</v>
      </c>
      <c r="Q272" s="8">
        <v>0</v>
      </c>
      <c r="R272" s="8">
        <v>0</v>
      </c>
      <c r="S272" s="8">
        <v>0</v>
      </c>
      <c r="T272" s="8">
        <v>0</v>
      </c>
      <c r="U272" s="8">
        <v>0</v>
      </c>
      <c r="V272" s="8">
        <v>0</v>
      </c>
      <c r="W272" s="8">
        <v>0</v>
      </c>
      <c r="X272" s="8">
        <v>0</v>
      </c>
      <c r="Y272" s="8">
        <v>0</v>
      </c>
      <c r="Z272" s="8">
        <v>0</v>
      </c>
      <c r="AA272" s="8">
        <v>0</v>
      </c>
      <c r="AB272" s="8">
        <v>0</v>
      </c>
      <c r="AC272" s="8">
        <v>0</v>
      </c>
      <c r="AD272" s="8">
        <v>0</v>
      </c>
    </row>
    <row r="273" spans="1:30" ht="37.5" hidden="1" x14ac:dyDescent="0.25">
      <c r="A273" s="6">
        <v>1252</v>
      </c>
      <c r="B273" s="7" t="s">
        <v>38</v>
      </c>
      <c r="C273" s="7" t="s">
        <v>359</v>
      </c>
      <c r="D273" s="8">
        <v>0.12100000000000001</v>
      </c>
      <c r="E273" s="7" t="s">
        <v>328</v>
      </c>
      <c r="F273" s="7" t="str">
        <f t="shared" si="4"/>
        <v>WK1</v>
      </c>
      <c r="G273" s="8">
        <v>0</v>
      </c>
      <c r="H273" s="8">
        <v>0</v>
      </c>
      <c r="I273" s="8">
        <v>0</v>
      </c>
      <c r="J273" s="8">
        <v>0</v>
      </c>
      <c r="K273" s="8">
        <v>0</v>
      </c>
      <c r="L273" s="8">
        <v>0</v>
      </c>
      <c r="M273" s="8">
        <v>0</v>
      </c>
      <c r="N273" s="8">
        <v>0</v>
      </c>
      <c r="O273" s="8">
        <v>1</v>
      </c>
      <c r="P273" s="8">
        <v>1</v>
      </c>
      <c r="Q273" s="8">
        <v>1</v>
      </c>
      <c r="R273" s="8">
        <v>1</v>
      </c>
      <c r="S273" s="8">
        <v>1</v>
      </c>
      <c r="T273" s="8">
        <v>1</v>
      </c>
      <c r="U273" s="8">
        <v>1</v>
      </c>
      <c r="V273" s="8">
        <v>1</v>
      </c>
      <c r="W273" s="8">
        <v>1</v>
      </c>
      <c r="X273" s="8">
        <v>1</v>
      </c>
      <c r="Y273" s="8">
        <v>0</v>
      </c>
      <c r="Z273" s="8">
        <v>0</v>
      </c>
      <c r="AA273" s="8">
        <v>0</v>
      </c>
      <c r="AB273" s="8">
        <v>0</v>
      </c>
      <c r="AC273" s="8">
        <v>0</v>
      </c>
      <c r="AD273" s="8">
        <v>0</v>
      </c>
    </row>
    <row r="274" spans="1:30" ht="37.5" hidden="1" x14ac:dyDescent="0.25">
      <c r="A274" s="8">
        <v>1252</v>
      </c>
      <c r="B274" s="7" t="s">
        <v>38</v>
      </c>
      <c r="C274" s="7" t="s">
        <v>359</v>
      </c>
      <c r="D274" s="8">
        <v>0.12100000000000001</v>
      </c>
      <c r="E274" s="7" t="s">
        <v>329</v>
      </c>
      <c r="F274" s="7" t="str">
        <f t="shared" si="4"/>
        <v>Wk2</v>
      </c>
      <c r="G274" s="8">
        <v>0</v>
      </c>
      <c r="H274" s="8">
        <v>0</v>
      </c>
      <c r="I274" s="8">
        <v>0</v>
      </c>
      <c r="J274" s="8">
        <v>0</v>
      </c>
      <c r="K274" s="8">
        <v>0</v>
      </c>
      <c r="L274" s="8">
        <v>0</v>
      </c>
      <c r="M274" s="8">
        <v>0</v>
      </c>
      <c r="N274" s="8">
        <v>0</v>
      </c>
      <c r="O274" s="8">
        <v>0</v>
      </c>
      <c r="P274" s="8">
        <v>0</v>
      </c>
      <c r="Q274" s="8">
        <v>0</v>
      </c>
      <c r="R274" s="8">
        <v>0</v>
      </c>
      <c r="S274" s="8">
        <v>0</v>
      </c>
      <c r="T274" s="8">
        <v>0</v>
      </c>
      <c r="U274" s="8">
        <v>0</v>
      </c>
      <c r="V274" s="8">
        <v>0</v>
      </c>
      <c r="W274" s="8">
        <v>0</v>
      </c>
      <c r="X274" s="8">
        <v>0</v>
      </c>
      <c r="Y274" s="8">
        <v>0</v>
      </c>
      <c r="Z274" s="8">
        <v>0</v>
      </c>
      <c r="AA274" s="8">
        <v>0</v>
      </c>
      <c r="AB274" s="8">
        <v>0</v>
      </c>
      <c r="AC274" s="8">
        <v>0</v>
      </c>
      <c r="AD274" s="8">
        <v>0</v>
      </c>
    </row>
    <row r="275" spans="1:30" ht="37.5" hidden="1" x14ac:dyDescent="0.25">
      <c r="A275" s="6">
        <v>1253</v>
      </c>
      <c r="B275" s="7" t="s">
        <v>78</v>
      </c>
      <c r="C275" s="7" t="s">
        <v>359</v>
      </c>
      <c r="D275" s="8">
        <v>0.14577956989247309</v>
      </c>
      <c r="E275" s="7" t="s">
        <v>330</v>
      </c>
      <c r="F275" s="7" t="str">
        <f t="shared" si="4"/>
        <v>WK1</v>
      </c>
      <c r="G275" s="8">
        <v>0</v>
      </c>
      <c r="H275" s="8">
        <v>0</v>
      </c>
      <c r="I275" s="8">
        <v>0</v>
      </c>
      <c r="J275" s="8">
        <v>0</v>
      </c>
      <c r="K275" s="8">
        <v>0</v>
      </c>
      <c r="L275" s="8">
        <v>0</v>
      </c>
      <c r="M275" s="8">
        <v>0</v>
      </c>
      <c r="N275" s="8">
        <v>0</v>
      </c>
      <c r="O275" s="8">
        <v>0</v>
      </c>
      <c r="P275" s="8">
        <v>1</v>
      </c>
      <c r="Q275" s="8">
        <v>1</v>
      </c>
      <c r="R275" s="8">
        <v>1</v>
      </c>
      <c r="S275" s="8">
        <v>1</v>
      </c>
      <c r="T275" s="8">
        <v>1</v>
      </c>
      <c r="U275" s="8">
        <v>1</v>
      </c>
      <c r="V275" s="8">
        <v>1</v>
      </c>
      <c r="W275" s="8">
        <v>1</v>
      </c>
      <c r="X275" s="8">
        <v>1</v>
      </c>
      <c r="Y275" s="8">
        <v>1</v>
      </c>
      <c r="Z275" s="8">
        <v>1</v>
      </c>
      <c r="AA275" s="8">
        <v>1</v>
      </c>
      <c r="AB275" s="8">
        <v>0</v>
      </c>
      <c r="AC275" s="8">
        <v>0</v>
      </c>
      <c r="AD275" s="8">
        <v>0</v>
      </c>
    </row>
    <row r="276" spans="1:30" ht="37.5" hidden="1" x14ac:dyDescent="0.25">
      <c r="A276" s="8">
        <v>1253</v>
      </c>
      <c r="B276" s="7" t="s">
        <v>78</v>
      </c>
      <c r="C276" s="7" t="s">
        <v>359</v>
      </c>
      <c r="D276" s="8">
        <v>0.14577956989247309</v>
      </c>
      <c r="E276" s="7" t="s">
        <v>331</v>
      </c>
      <c r="F276" s="7" t="str">
        <f t="shared" si="4"/>
        <v>Wk2</v>
      </c>
      <c r="G276" s="8">
        <v>0</v>
      </c>
      <c r="H276" s="8">
        <v>0</v>
      </c>
      <c r="I276" s="8">
        <v>0</v>
      </c>
      <c r="J276" s="8">
        <v>0</v>
      </c>
      <c r="K276" s="8">
        <v>0</v>
      </c>
      <c r="L276" s="8">
        <v>0</v>
      </c>
      <c r="M276" s="8">
        <v>0</v>
      </c>
      <c r="N276" s="8">
        <v>0</v>
      </c>
      <c r="O276" s="8">
        <v>0</v>
      </c>
      <c r="P276" s="8">
        <v>0.5</v>
      </c>
      <c r="Q276" s="8">
        <v>1</v>
      </c>
      <c r="R276" s="8">
        <v>1</v>
      </c>
      <c r="S276" s="8">
        <v>1</v>
      </c>
      <c r="T276" s="8">
        <v>0.75</v>
      </c>
      <c r="U276" s="8">
        <v>1</v>
      </c>
      <c r="V276" s="8">
        <v>0.75</v>
      </c>
      <c r="W276" s="8">
        <v>0</v>
      </c>
      <c r="X276" s="8">
        <v>0</v>
      </c>
      <c r="Y276" s="8">
        <v>0</v>
      </c>
      <c r="Z276" s="8">
        <v>0</v>
      </c>
      <c r="AA276" s="8">
        <v>0</v>
      </c>
      <c r="AB276" s="8">
        <v>0</v>
      </c>
      <c r="AC276" s="8">
        <v>0</v>
      </c>
      <c r="AD276" s="8">
        <v>0</v>
      </c>
    </row>
    <row r="277" spans="1:30" ht="37.5" hidden="1" x14ac:dyDescent="0.25">
      <c r="A277" s="6">
        <v>1254</v>
      </c>
      <c r="B277" s="7" t="s">
        <v>43</v>
      </c>
      <c r="C277" s="7" t="s">
        <v>359</v>
      </c>
      <c r="D277" s="8">
        <v>0.11</v>
      </c>
      <c r="E277" s="7" t="s">
        <v>332</v>
      </c>
      <c r="F277" s="7" t="str">
        <f t="shared" si="4"/>
        <v>WK1</v>
      </c>
      <c r="G277" s="8">
        <v>0</v>
      </c>
      <c r="H277" s="8">
        <v>0</v>
      </c>
      <c r="I277" s="8">
        <v>0</v>
      </c>
      <c r="J277" s="8">
        <v>0</v>
      </c>
      <c r="K277" s="8">
        <v>0</v>
      </c>
      <c r="L277" s="8">
        <v>0</v>
      </c>
      <c r="M277" s="8">
        <v>0</v>
      </c>
      <c r="N277" s="8">
        <v>0.25</v>
      </c>
      <c r="O277" s="8">
        <v>0.5</v>
      </c>
      <c r="P277" s="8">
        <v>1</v>
      </c>
      <c r="Q277" s="8">
        <v>1</v>
      </c>
      <c r="R277" s="8">
        <v>1</v>
      </c>
      <c r="S277" s="8">
        <v>0.75</v>
      </c>
      <c r="T277" s="8">
        <v>0.75</v>
      </c>
      <c r="U277" s="8">
        <v>1</v>
      </c>
      <c r="V277" s="8">
        <v>1</v>
      </c>
      <c r="W277" s="8">
        <v>1</v>
      </c>
      <c r="X277" s="8">
        <v>0.5</v>
      </c>
      <c r="Y277" s="8">
        <v>0.25</v>
      </c>
      <c r="Z277" s="8">
        <v>0</v>
      </c>
      <c r="AA277" s="8">
        <v>0</v>
      </c>
      <c r="AB277" s="8">
        <v>0</v>
      </c>
      <c r="AC277" s="8">
        <v>0</v>
      </c>
      <c r="AD277" s="8">
        <v>0</v>
      </c>
    </row>
    <row r="278" spans="1:30" ht="37.5" hidden="1" x14ac:dyDescent="0.25">
      <c r="A278" s="8">
        <v>1254</v>
      </c>
      <c r="B278" s="7" t="s">
        <v>43</v>
      </c>
      <c r="C278" s="7" t="s">
        <v>359</v>
      </c>
      <c r="D278" s="8">
        <v>0.11</v>
      </c>
      <c r="E278" s="7" t="s">
        <v>333</v>
      </c>
      <c r="F278" s="7" t="str">
        <f t="shared" si="4"/>
        <v>Wk2</v>
      </c>
      <c r="G278" s="8">
        <v>0</v>
      </c>
      <c r="H278" s="8">
        <v>0</v>
      </c>
      <c r="I278" s="8">
        <v>0</v>
      </c>
      <c r="J278" s="8">
        <v>0</v>
      </c>
      <c r="K278" s="8">
        <v>0</v>
      </c>
      <c r="L278" s="8">
        <v>0</v>
      </c>
      <c r="M278" s="8">
        <v>0</v>
      </c>
      <c r="N278" s="8">
        <v>0</v>
      </c>
      <c r="O278" s="8">
        <v>0</v>
      </c>
      <c r="P278" s="8">
        <v>0</v>
      </c>
      <c r="Q278" s="8">
        <v>0</v>
      </c>
      <c r="R278" s="8">
        <v>0</v>
      </c>
      <c r="S278" s="8">
        <v>0</v>
      </c>
      <c r="T278" s="8">
        <v>0</v>
      </c>
      <c r="U278" s="8">
        <v>0</v>
      </c>
      <c r="V278" s="8">
        <v>0</v>
      </c>
      <c r="W278" s="8">
        <v>0</v>
      </c>
      <c r="X278" s="8">
        <v>0</v>
      </c>
      <c r="Y278" s="8">
        <v>0</v>
      </c>
      <c r="Z278" s="8">
        <v>0</v>
      </c>
      <c r="AA278" s="8">
        <v>0</v>
      </c>
      <c r="AB278" s="8">
        <v>0</v>
      </c>
      <c r="AC278" s="8">
        <v>0</v>
      </c>
      <c r="AD278" s="8">
        <v>0</v>
      </c>
    </row>
    <row r="279" spans="1:30" ht="50" hidden="1" x14ac:dyDescent="0.25">
      <c r="A279" s="6">
        <v>1255</v>
      </c>
      <c r="B279" s="7" t="s">
        <v>59</v>
      </c>
      <c r="C279" s="7" t="s">
        <v>359</v>
      </c>
      <c r="D279" s="8">
        <v>6.3259259264444451E-2</v>
      </c>
      <c r="E279" s="7" t="s">
        <v>334</v>
      </c>
      <c r="F279" s="7" t="str">
        <f t="shared" si="4"/>
        <v>Wk1</v>
      </c>
      <c r="G279" s="8">
        <v>0</v>
      </c>
      <c r="H279" s="8">
        <v>0</v>
      </c>
      <c r="I279" s="8">
        <v>0</v>
      </c>
      <c r="J279" s="8">
        <v>0</v>
      </c>
      <c r="K279" s="8">
        <v>0</v>
      </c>
      <c r="L279" s="8">
        <v>0</v>
      </c>
      <c r="M279" s="8">
        <v>0</v>
      </c>
      <c r="N279" s="8">
        <v>0.25</v>
      </c>
      <c r="O279" s="8">
        <v>0.5</v>
      </c>
      <c r="P279" s="8">
        <v>1</v>
      </c>
      <c r="Q279" s="8">
        <v>1</v>
      </c>
      <c r="R279" s="8">
        <v>1</v>
      </c>
      <c r="S279" s="8">
        <v>0.75</v>
      </c>
      <c r="T279" s="8">
        <v>0.75</v>
      </c>
      <c r="U279" s="8">
        <v>1</v>
      </c>
      <c r="V279" s="8">
        <v>1</v>
      </c>
      <c r="W279" s="8">
        <v>1</v>
      </c>
      <c r="X279" s="8">
        <v>0.5</v>
      </c>
      <c r="Y279" s="8">
        <v>0.25</v>
      </c>
      <c r="Z279" s="8">
        <v>0</v>
      </c>
      <c r="AA279" s="8">
        <v>0</v>
      </c>
      <c r="AB279" s="8">
        <v>0</v>
      </c>
      <c r="AC279" s="8">
        <v>0</v>
      </c>
      <c r="AD279" s="8">
        <v>0</v>
      </c>
    </row>
    <row r="280" spans="1:30" ht="50" hidden="1" x14ac:dyDescent="0.25">
      <c r="A280" s="8">
        <v>1255</v>
      </c>
      <c r="B280" s="7" t="s">
        <v>59</v>
      </c>
      <c r="C280" s="7" t="s">
        <v>359</v>
      </c>
      <c r="D280" s="8">
        <v>6.3259259264444451E-2</v>
      </c>
      <c r="E280" s="7" t="s">
        <v>335</v>
      </c>
      <c r="F280" s="7" t="str">
        <f t="shared" si="4"/>
        <v>Wk2</v>
      </c>
      <c r="G280" s="8">
        <v>0</v>
      </c>
      <c r="H280" s="8">
        <v>0</v>
      </c>
      <c r="I280" s="8">
        <v>0</v>
      </c>
      <c r="J280" s="8">
        <v>0</v>
      </c>
      <c r="K280" s="8">
        <v>0</v>
      </c>
      <c r="L280" s="8">
        <v>0</v>
      </c>
      <c r="M280" s="8">
        <v>0</v>
      </c>
      <c r="N280" s="8">
        <v>0</v>
      </c>
      <c r="O280" s="8">
        <v>0</v>
      </c>
      <c r="P280" s="8">
        <v>0</v>
      </c>
      <c r="Q280" s="8">
        <v>0</v>
      </c>
      <c r="R280" s="8">
        <v>0</v>
      </c>
      <c r="S280" s="8">
        <v>0</v>
      </c>
      <c r="T280" s="8">
        <v>0</v>
      </c>
      <c r="U280" s="8">
        <v>0</v>
      </c>
      <c r="V280" s="8">
        <v>0</v>
      </c>
      <c r="W280" s="8">
        <v>0</v>
      </c>
      <c r="X280" s="8">
        <v>0</v>
      </c>
      <c r="Y280" s="8">
        <v>0</v>
      </c>
      <c r="Z280" s="8">
        <v>0</v>
      </c>
      <c r="AA280" s="8">
        <v>0</v>
      </c>
      <c r="AB280" s="8">
        <v>0</v>
      </c>
      <c r="AC280" s="8">
        <v>0</v>
      </c>
      <c r="AD280" s="8">
        <v>0</v>
      </c>
    </row>
    <row r="281" spans="1:30" ht="37.5" hidden="1" x14ac:dyDescent="0.25">
      <c r="A281" s="8">
        <v>1256</v>
      </c>
      <c r="B281" s="7" t="s">
        <v>336</v>
      </c>
      <c r="C281" s="7" t="s">
        <v>359</v>
      </c>
      <c r="D281" s="8">
        <v>0.55232394366197191</v>
      </c>
      <c r="E281" s="7" t="s">
        <v>337</v>
      </c>
      <c r="F281" s="7" t="str">
        <f t="shared" si="4"/>
        <v>Wk2</v>
      </c>
      <c r="G281" s="8">
        <v>0</v>
      </c>
      <c r="H281" s="8">
        <v>0</v>
      </c>
      <c r="I281" s="8">
        <v>0</v>
      </c>
      <c r="J281" s="8">
        <v>0</v>
      </c>
      <c r="K281" s="8">
        <v>0</v>
      </c>
      <c r="L281" s="8">
        <v>0</v>
      </c>
      <c r="M281" s="8">
        <v>0</v>
      </c>
      <c r="N281" s="8">
        <v>0</v>
      </c>
      <c r="O281" s="8">
        <v>0</v>
      </c>
      <c r="P281" s="8">
        <v>0</v>
      </c>
      <c r="Q281" s="8">
        <v>0</v>
      </c>
      <c r="R281" s="8">
        <v>0</v>
      </c>
      <c r="S281" s="8">
        <v>0</v>
      </c>
      <c r="T281" s="8">
        <v>0</v>
      </c>
      <c r="U281" s="8">
        <v>0</v>
      </c>
      <c r="V281" s="8">
        <v>0</v>
      </c>
      <c r="W281" s="8">
        <v>0</v>
      </c>
      <c r="X281" s="8">
        <v>0</v>
      </c>
      <c r="Y281" s="8">
        <v>0</v>
      </c>
      <c r="Z281" s="8">
        <v>0</v>
      </c>
      <c r="AA281" s="8">
        <v>0</v>
      </c>
      <c r="AB281" s="8">
        <v>0</v>
      </c>
      <c r="AC281" s="8">
        <v>0</v>
      </c>
      <c r="AD281" s="8">
        <v>0</v>
      </c>
    </row>
    <row r="282" spans="1:30" ht="37.5" hidden="1" x14ac:dyDescent="0.25">
      <c r="A282" s="6">
        <v>1256</v>
      </c>
      <c r="B282" s="7" t="s">
        <v>336</v>
      </c>
      <c r="C282" s="7" t="s">
        <v>359</v>
      </c>
      <c r="D282" s="8">
        <v>0.55232394366197191</v>
      </c>
      <c r="E282" s="7" t="s">
        <v>338</v>
      </c>
      <c r="F282" s="7" t="str">
        <f t="shared" si="4"/>
        <v>WK1</v>
      </c>
      <c r="G282" s="8">
        <v>0</v>
      </c>
      <c r="H282" s="8">
        <v>0</v>
      </c>
      <c r="I282" s="8">
        <v>0</v>
      </c>
      <c r="J282" s="8">
        <v>0</v>
      </c>
      <c r="K282" s="8">
        <v>0</v>
      </c>
      <c r="L282" s="8">
        <v>0</v>
      </c>
      <c r="M282" s="8">
        <v>0</v>
      </c>
      <c r="N282" s="8">
        <v>0.1</v>
      </c>
      <c r="O282" s="8">
        <v>0.25</v>
      </c>
      <c r="P282" s="8">
        <v>0.75</v>
      </c>
      <c r="Q282" s="8">
        <v>1</v>
      </c>
      <c r="R282" s="8">
        <v>1</v>
      </c>
      <c r="S282" s="8">
        <v>0.5</v>
      </c>
      <c r="T282" s="8">
        <v>0.5</v>
      </c>
      <c r="U282" s="8">
        <v>1</v>
      </c>
      <c r="V282" s="8">
        <v>1</v>
      </c>
      <c r="W282" s="8">
        <v>0.5</v>
      </c>
      <c r="X282" s="8">
        <v>0.5</v>
      </c>
      <c r="Y282" s="8">
        <v>0</v>
      </c>
      <c r="Z282" s="8">
        <v>0</v>
      </c>
      <c r="AA282" s="8">
        <v>0</v>
      </c>
      <c r="AB282" s="8">
        <v>0</v>
      </c>
      <c r="AC282" s="8">
        <v>0</v>
      </c>
      <c r="AD282" s="8">
        <v>0</v>
      </c>
    </row>
    <row r="283" spans="1:30" ht="37.5" hidden="1" x14ac:dyDescent="0.25">
      <c r="A283" s="6">
        <v>1257</v>
      </c>
      <c r="B283" s="7" t="s">
        <v>185</v>
      </c>
      <c r="C283" s="7" t="s">
        <v>359</v>
      </c>
      <c r="D283" s="8">
        <v>0.10100000000000001</v>
      </c>
      <c r="E283" s="7" t="s">
        <v>339</v>
      </c>
      <c r="F283" s="7" t="str">
        <f t="shared" si="4"/>
        <v>WK1</v>
      </c>
      <c r="G283" s="8">
        <v>0</v>
      </c>
      <c r="H283" s="8">
        <v>0</v>
      </c>
      <c r="I283" s="8">
        <v>0</v>
      </c>
      <c r="J283" s="8">
        <v>0</v>
      </c>
      <c r="K283" s="8">
        <v>0</v>
      </c>
      <c r="L283" s="8">
        <v>0</v>
      </c>
      <c r="M283" s="8">
        <v>0</v>
      </c>
      <c r="N283" s="8">
        <v>0.1</v>
      </c>
      <c r="O283" s="8">
        <v>0.25</v>
      </c>
      <c r="P283" s="8">
        <v>0.75</v>
      </c>
      <c r="Q283" s="8">
        <v>1</v>
      </c>
      <c r="R283" s="8">
        <v>1</v>
      </c>
      <c r="S283" s="8">
        <v>0.5</v>
      </c>
      <c r="T283" s="8">
        <v>0.5</v>
      </c>
      <c r="U283" s="8">
        <v>1</v>
      </c>
      <c r="V283" s="8">
        <v>1</v>
      </c>
      <c r="W283" s="8">
        <v>0.5</v>
      </c>
      <c r="X283" s="8">
        <v>0.5</v>
      </c>
      <c r="Y283" s="8">
        <v>0</v>
      </c>
      <c r="Z283" s="8">
        <v>0</v>
      </c>
      <c r="AA283" s="8">
        <v>0</v>
      </c>
      <c r="AB283" s="8">
        <v>0</v>
      </c>
      <c r="AC283" s="8">
        <v>0</v>
      </c>
      <c r="AD283" s="8">
        <v>0</v>
      </c>
    </row>
    <row r="284" spans="1:30" ht="37.5" hidden="1" x14ac:dyDescent="0.25">
      <c r="A284" s="8">
        <v>1257</v>
      </c>
      <c r="B284" s="7" t="s">
        <v>185</v>
      </c>
      <c r="C284" s="7" t="s">
        <v>359</v>
      </c>
      <c r="D284" s="8">
        <v>0.10100000000000001</v>
      </c>
      <c r="E284" s="7" t="s">
        <v>340</v>
      </c>
      <c r="F284" s="7" t="str">
        <f t="shared" si="4"/>
        <v>Wk2</v>
      </c>
      <c r="G284" s="8">
        <v>0</v>
      </c>
      <c r="H284" s="8">
        <v>0</v>
      </c>
      <c r="I284" s="8">
        <v>0</v>
      </c>
      <c r="J284" s="8">
        <v>0</v>
      </c>
      <c r="K284" s="8">
        <v>0</v>
      </c>
      <c r="L284" s="8">
        <v>0</v>
      </c>
      <c r="M284" s="8">
        <v>0</v>
      </c>
      <c r="N284" s="8">
        <v>0</v>
      </c>
      <c r="O284" s="8">
        <v>0</v>
      </c>
      <c r="P284" s="8">
        <v>0</v>
      </c>
      <c r="Q284" s="8">
        <v>0</v>
      </c>
      <c r="R284" s="8">
        <v>0</v>
      </c>
      <c r="S284" s="8">
        <v>0</v>
      </c>
      <c r="T284" s="8">
        <v>0</v>
      </c>
      <c r="U284" s="8">
        <v>0</v>
      </c>
      <c r="V284" s="8">
        <v>0</v>
      </c>
      <c r="W284" s="8">
        <v>0</v>
      </c>
      <c r="X284" s="8">
        <v>0</v>
      </c>
      <c r="Y284" s="8">
        <v>0</v>
      </c>
      <c r="Z284" s="8">
        <v>0</v>
      </c>
      <c r="AA284" s="8">
        <v>0</v>
      </c>
      <c r="AB284" s="8">
        <v>0</v>
      </c>
      <c r="AC284" s="8">
        <v>0</v>
      </c>
      <c r="AD284" s="8">
        <v>0</v>
      </c>
    </row>
    <row r="285" spans="1:30" ht="37.5" hidden="1" x14ac:dyDescent="0.25">
      <c r="A285" s="8">
        <v>1258</v>
      </c>
      <c r="B285" s="7" t="s">
        <v>217</v>
      </c>
      <c r="C285" s="7" t="s">
        <v>359</v>
      </c>
      <c r="D285" s="8">
        <v>9.6304761904761921E-2</v>
      </c>
      <c r="E285" s="7" t="s">
        <v>364</v>
      </c>
      <c r="F285" s="7" t="str">
        <f t="shared" si="4"/>
        <v>Wk2</v>
      </c>
      <c r="G285" s="8">
        <v>1</v>
      </c>
      <c r="H285" s="8">
        <v>1</v>
      </c>
      <c r="I285" s="8">
        <v>1</v>
      </c>
      <c r="J285" s="8">
        <v>1</v>
      </c>
      <c r="K285" s="8">
        <v>1</v>
      </c>
      <c r="L285" s="8">
        <v>1</v>
      </c>
      <c r="M285" s="8">
        <v>1</v>
      </c>
      <c r="N285" s="8">
        <v>0.5</v>
      </c>
      <c r="O285" s="8">
        <v>0.25</v>
      </c>
      <c r="P285" s="8">
        <v>0</v>
      </c>
      <c r="Q285" s="8">
        <v>0</v>
      </c>
      <c r="R285" s="8">
        <v>0</v>
      </c>
      <c r="S285" s="8">
        <v>0</v>
      </c>
      <c r="T285" s="8">
        <v>0</v>
      </c>
      <c r="U285" s="8">
        <v>0</v>
      </c>
      <c r="V285" s="8">
        <v>0</v>
      </c>
      <c r="W285" s="8">
        <v>0</v>
      </c>
      <c r="X285" s="8">
        <v>0</v>
      </c>
      <c r="Y285" s="8">
        <v>0</v>
      </c>
      <c r="Z285" s="8">
        <v>0</v>
      </c>
      <c r="AA285" s="8">
        <v>0</v>
      </c>
      <c r="AB285" s="8">
        <v>0</v>
      </c>
      <c r="AC285" s="8">
        <v>0.25</v>
      </c>
      <c r="AD285" s="8">
        <v>0.75</v>
      </c>
    </row>
    <row r="286" spans="1:30" ht="37.5" hidden="1" x14ac:dyDescent="0.25">
      <c r="A286" s="6">
        <v>1258</v>
      </c>
      <c r="B286" s="7" t="s">
        <v>217</v>
      </c>
      <c r="C286" s="7" t="s">
        <v>359</v>
      </c>
      <c r="D286" s="8">
        <v>9.6304761904761921E-2</v>
      </c>
      <c r="E286" s="7" t="s">
        <v>365</v>
      </c>
      <c r="F286" s="7" t="str">
        <f t="shared" si="4"/>
        <v>Wk1</v>
      </c>
      <c r="G286" s="8">
        <v>1</v>
      </c>
      <c r="H286" s="8">
        <v>1</v>
      </c>
      <c r="I286" s="8">
        <v>1</v>
      </c>
      <c r="J286" s="8">
        <v>1</v>
      </c>
      <c r="K286" s="8">
        <v>1</v>
      </c>
      <c r="L286" s="8">
        <v>1</v>
      </c>
      <c r="M286" s="8">
        <v>1</v>
      </c>
      <c r="N286" s="8">
        <v>0.5</v>
      </c>
      <c r="O286" s="8">
        <v>0.25</v>
      </c>
      <c r="P286" s="8">
        <v>0</v>
      </c>
      <c r="Q286" s="8">
        <v>0</v>
      </c>
      <c r="R286" s="8">
        <v>0</v>
      </c>
      <c r="S286" s="8">
        <v>0</v>
      </c>
      <c r="T286" s="8">
        <v>0</v>
      </c>
      <c r="U286" s="8">
        <v>0</v>
      </c>
      <c r="V286" s="8">
        <v>0</v>
      </c>
      <c r="W286" s="8">
        <v>0</v>
      </c>
      <c r="X286" s="8">
        <v>0</v>
      </c>
      <c r="Y286" s="8">
        <v>0</v>
      </c>
      <c r="Z286" s="8">
        <v>0</v>
      </c>
      <c r="AA286" s="8">
        <v>0</v>
      </c>
      <c r="AB286" s="8">
        <v>0</v>
      </c>
      <c r="AC286" s="8">
        <v>0.25</v>
      </c>
      <c r="AD286" s="8">
        <v>0.75</v>
      </c>
    </row>
    <row r="287" spans="1:30" ht="37.5" hidden="1" x14ac:dyDescent="0.25">
      <c r="A287" s="6">
        <v>1259</v>
      </c>
      <c r="B287" s="7" t="s">
        <v>181</v>
      </c>
      <c r="C287" s="7" t="s">
        <v>359</v>
      </c>
      <c r="D287" s="8">
        <v>0.23157894736842108</v>
      </c>
      <c r="E287" s="7" t="s">
        <v>366</v>
      </c>
      <c r="F287" s="7" t="str">
        <f t="shared" si="4"/>
        <v>Wk1</v>
      </c>
      <c r="G287" s="8">
        <v>0</v>
      </c>
      <c r="H287" s="8">
        <v>0</v>
      </c>
      <c r="I287" s="8">
        <v>0</v>
      </c>
      <c r="J287" s="8">
        <v>0</v>
      </c>
      <c r="K287" s="8">
        <v>0</v>
      </c>
      <c r="L287" s="8">
        <v>0</v>
      </c>
      <c r="M287" s="8">
        <v>0</v>
      </c>
      <c r="N287" s="8">
        <v>1</v>
      </c>
      <c r="O287" s="8">
        <v>1</v>
      </c>
      <c r="P287" s="8">
        <v>1</v>
      </c>
      <c r="Q287" s="8">
        <v>0</v>
      </c>
      <c r="R287" s="8">
        <v>0</v>
      </c>
      <c r="S287" s="8">
        <v>0</v>
      </c>
      <c r="T287" s="8">
        <v>0</v>
      </c>
      <c r="U287" s="8">
        <v>0</v>
      </c>
      <c r="V287" s="8">
        <v>0</v>
      </c>
      <c r="W287" s="8">
        <v>0</v>
      </c>
      <c r="X287" s="8">
        <v>0</v>
      </c>
      <c r="Y287" s="8">
        <v>0</v>
      </c>
      <c r="Z287" s="8">
        <v>0.2</v>
      </c>
      <c r="AA287" s="8">
        <v>0.2</v>
      </c>
      <c r="AB287" s="8">
        <v>0.2</v>
      </c>
      <c r="AC287" s="8">
        <v>0.2</v>
      </c>
      <c r="AD287" s="8">
        <v>0</v>
      </c>
    </row>
    <row r="288" spans="1:30" ht="37.5" hidden="1" x14ac:dyDescent="0.25">
      <c r="A288" s="8">
        <v>1259</v>
      </c>
      <c r="B288" s="7" t="s">
        <v>181</v>
      </c>
      <c r="C288" s="7" t="s">
        <v>359</v>
      </c>
      <c r="D288" s="8">
        <v>0.23157894736842108</v>
      </c>
      <c r="E288" s="7" t="s">
        <v>367</v>
      </c>
      <c r="F288" s="7" t="str">
        <f t="shared" si="4"/>
        <v>Wk2</v>
      </c>
      <c r="G288" s="8">
        <v>0</v>
      </c>
      <c r="H288" s="8">
        <v>0</v>
      </c>
      <c r="I288" s="8">
        <v>0</v>
      </c>
      <c r="J288" s="8">
        <v>0</v>
      </c>
      <c r="K288" s="8">
        <v>0</v>
      </c>
      <c r="L288" s="8">
        <v>0</v>
      </c>
      <c r="M288" s="8">
        <v>0</v>
      </c>
      <c r="N288" s="8">
        <v>1</v>
      </c>
      <c r="O288" s="8">
        <v>1</v>
      </c>
      <c r="P288" s="8">
        <v>1</v>
      </c>
      <c r="Q288" s="8">
        <v>0</v>
      </c>
      <c r="R288" s="8">
        <v>0</v>
      </c>
      <c r="S288" s="8">
        <v>0</v>
      </c>
      <c r="T288" s="8">
        <v>0</v>
      </c>
      <c r="U288" s="8">
        <v>0</v>
      </c>
      <c r="V288" s="8">
        <v>0</v>
      </c>
      <c r="W288" s="8">
        <v>0</v>
      </c>
      <c r="X288" s="8">
        <v>0</v>
      </c>
      <c r="Y288" s="8">
        <v>0</v>
      </c>
      <c r="Z288" s="8">
        <v>0.2</v>
      </c>
      <c r="AA288" s="8">
        <v>0.2</v>
      </c>
      <c r="AB288" s="8">
        <v>0.2</v>
      </c>
      <c r="AC288" s="8">
        <v>0.2</v>
      </c>
      <c r="AD288" s="8">
        <v>0</v>
      </c>
    </row>
    <row r="289" spans="1:30" ht="50" hidden="1" x14ac:dyDescent="0.25">
      <c r="A289" s="6">
        <v>1260</v>
      </c>
      <c r="B289" s="7" t="s">
        <v>368</v>
      </c>
      <c r="C289" s="7" t="s">
        <v>359</v>
      </c>
      <c r="D289" s="8">
        <v>0.1141621621621622</v>
      </c>
      <c r="E289" s="7" t="s">
        <v>369</v>
      </c>
      <c r="F289" s="7" t="str">
        <f t="shared" si="4"/>
        <v>Wk1</v>
      </c>
      <c r="G289" s="8">
        <v>0</v>
      </c>
      <c r="H289" s="8">
        <v>0</v>
      </c>
      <c r="I289" s="8">
        <v>0</v>
      </c>
      <c r="J289" s="8">
        <v>0</v>
      </c>
      <c r="K289" s="8">
        <v>0</v>
      </c>
      <c r="L289" s="8">
        <v>0</v>
      </c>
      <c r="M289" s="8">
        <v>0</v>
      </c>
      <c r="N289" s="8">
        <v>0.25</v>
      </c>
      <c r="O289" s="8">
        <v>0.25</v>
      </c>
      <c r="P289" s="8">
        <v>0.5</v>
      </c>
      <c r="Q289" s="8">
        <v>0.5</v>
      </c>
      <c r="R289" s="8">
        <v>0.5</v>
      </c>
      <c r="S289" s="8">
        <v>1</v>
      </c>
      <c r="T289" s="8">
        <v>1</v>
      </c>
      <c r="U289" s="8">
        <v>0.5</v>
      </c>
      <c r="V289" s="8">
        <v>0.25</v>
      </c>
      <c r="W289" s="8">
        <v>0.25</v>
      </c>
      <c r="X289" s="8">
        <v>0.25</v>
      </c>
      <c r="Y289" s="8">
        <v>0.5</v>
      </c>
      <c r="Z289" s="8">
        <v>1</v>
      </c>
      <c r="AA289" s="8">
        <v>1</v>
      </c>
      <c r="AB289" s="8">
        <v>1</v>
      </c>
      <c r="AC289" s="8">
        <v>0.5</v>
      </c>
      <c r="AD289" s="8">
        <v>0</v>
      </c>
    </row>
    <row r="290" spans="1:30" ht="50" hidden="1" x14ac:dyDescent="0.25">
      <c r="A290" s="8">
        <v>1260</v>
      </c>
      <c r="B290" s="7" t="s">
        <v>368</v>
      </c>
      <c r="C290" s="7" t="s">
        <v>359</v>
      </c>
      <c r="D290" s="8">
        <v>0.1141621621621622</v>
      </c>
      <c r="E290" s="7" t="s">
        <v>370</v>
      </c>
      <c r="F290" s="7" t="str">
        <f t="shared" si="4"/>
        <v>Wk2</v>
      </c>
      <c r="G290" s="8">
        <v>0</v>
      </c>
      <c r="H290" s="8">
        <v>0</v>
      </c>
      <c r="I290" s="8">
        <v>0</v>
      </c>
      <c r="J290" s="8">
        <v>0</v>
      </c>
      <c r="K290" s="8">
        <v>0</v>
      </c>
      <c r="L290" s="8">
        <v>0</v>
      </c>
      <c r="M290" s="8">
        <v>0</v>
      </c>
      <c r="N290" s="8">
        <v>0</v>
      </c>
      <c r="O290" s="8">
        <v>0</v>
      </c>
      <c r="P290" s="8">
        <v>0</v>
      </c>
      <c r="Q290" s="8">
        <v>0</v>
      </c>
      <c r="R290" s="8">
        <v>0</v>
      </c>
      <c r="S290" s="8">
        <v>0</v>
      </c>
      <c r="T290" s="8">
        <v>0</v>
      </c>
      <c r="U290" s="8">
        <v>0</v>
      </c>
      <c r="V290" s="8">
        <v>0</v>
      </c>
      <c r="W290" s="8">
        <v>0</v>
      </c>
      <c r="X290" s="8">
        <v>0</v>
      </c>
      <c r="Y290" s="8">
        <v>0</v>
      </c>
      <c r="Z290" s="8">
        <v>0</v>
      </c>
      <c r="AA290" s="8">
        <v>0</v>
      </c>
      <c r="AB290" s="8">
        <v>0</v>
      </c>
      <c r="AC290" s="8">
        <v>0</v>
      </c>
      <c r="AD290" s="8">
        <v>0</v>
      </c>
    </row>
    <row r="291" spans="1:30" ht="37.5" hidden="1" x14ac:dyDescent="0.25">
      <c r="A291" s="6">
        <v>1261</v>
      </c>
      <c r="B291" s="7" t="s">
        <v>61</v>
      </c>
      <c r="C291" s="7" t="s">
        <v>359</v>
      </c>
      <c r="D291" s="8">
        <v>0.12100000000000001</v>
      </c>
      <c r="E291" s="7" t="s">
        <v>371</v>
      </c>
      <c r="F291" s="7" t="str">
        <f t="shared" si="4"/>
        <v>WK1</v>
      </c>
      <c r="G291" s="8">
        <v>0</v>
      </c>
      <c r="H291" s="8">
        <v>0</v>
      </c>
      <c r="I291" s="8">
        <v>0</v>
      </c>
      <c r="J291" s="8">
        <v>0</v>
      </c>
      <c r="K291" s="8">
        <v>0</v>
      </c>
      <c r="L291" s="8">
        <v>0</v>
      </c>
      <c r="M291" s="8">
        <v>0</v>
      </c>
      <c r="N291" s="8">
        <v>0</v>
      </c>
      <c r="O291" s="8">
        <v>1</v>
      </c>
      <c r="P291" s="8">
        <v>1</v>
      </c>
      <c r="Q291" s="8">
        <v>1</v>
      </c>
      <c r="R291" s="8">
        <v>1</v>
      </c>
      <c r="S291" s="8">
        <v>1</v>
      </c>
      <c r="T291" s="8">
        <v>1</v>
      </c>
      <c r="U291" s="8">
        <v>1</v>
      </c>
      <c r="V291" s="8">
        <v>1</v>
      </c>
      <c r="W291" s="8">
        <v>1</v>
      </c>
      <c r="X291" s="8">
        <v>1</v>
      </c>
      <c r="Y291" s="8">
        <v>0</v>
      </c>
      <c r="Z291" s="8">
        <v>0</v>
      </c>
      <c r="AA291" s="8">
        <v>0</v>
      </c>
      <c r="AB291" s="8">
        <v>0</v>
      </c>
      <c r="AC291" s="8">
        <v>0</v>
      </c>
      <c r="AD291" s="8">
        <v>0</v>
      </c>
    </row>
    <row r="292" spans="1:30" ht="37.5" hidden="1" x14ac:dyDescent="0.25">
      <c r="A292" s="8">
        <v>1261</v>
      </c>
      <c r="B292" s="7" t="s">
        <v>61</v>
      </c>
      <c r="C292" s="7" t="s">
        <v>359</v>
      </c>
      <c r="D292" s="8">
        <v>0.12100000000000001</v>
      </c>
      <c r="E292" s="7" t="s">
        <v>372</v>
      </c>
      <c r="F292" s="7" t="str">
        <f t="shared" si="4"/>
        <v>Wk2</v>
      </c>
      <c r="G292" s="8">
        <v>0</v>
      </c>
      <c r="H292" s="8">
        <v>0</v>
      </c>
      <c r="I292" s="8">
        <v>0</v>
      </c>
      <c r="J292" s="8">
        <v>0</v>
      </c>
      <c r="K292" s="8">
        <v>0</v>
      </c>
      <c r="L292" s="8">
        <v>0</v>
      </c>
      <c r="M292" s="8">
        <v>0</v>
      </c>
      <c r="N292" s="8">
        <v>0</v>
      </c>
      <c r="O292" s="8">
        <v>0</v>
      </c>
      <c r="P292" s="8">
        <v>0</v>
      </c>
      <c r="Q292" s="8">
        <v>0</v>
      </c>
      <c r="R292" s="8">
        <v>0</v>
      </c>
      <c r="S292" s="8">
        <v>0</v>
      </c>
      <c r="T292" s="8">
        <v>0</v>
      </c>
      <c r="U292" s="8">
        <v>0</v>
      </c>
      <c r="V292" s="8">
        <v>0</v>
      </c>
      <c r="W292" s="8">
        <v>0</v>
      </c>
      <c r="X292" s="8">
        <v>0</v>
      </c>
      <c r="Y292" s="8">
        <v>0</v>
      </c>
      <c r="Z292" s="8">
        <v>0</v>
      </c>
      <c r="AA292" s="8">
        <v>0</v>
      </c>
      <c r="AB292" s="8">
        <v>0</v>
      </c>
      <c r="AC292" s="8">
        <v>0</v>
      </c>
      <c r="AD292" s="8">
        <v>0</v>
      </c>
    </row>
    <row r="293" spans="1:30" ht="25" hidden="1" x14ac:dyDescent="0.25">
      <c r="A293" s="6">
        <v>1262</v>
      </c>
      <c r="B293" s="7" t="s">
        <v>181</v>
      </c>
      <c r="C293" s="7" t="s">
        <v>373</v>
      </c>
      <c r="D293" s="8">
        <v>0.23157894736842108</v>
      </c>
      <c r="E293" s="7" t="s">
        <v>374</v>
      </c>
      <c r="F293" s="7" t="str">
        <f t="shared" si="4"/>
        <v>Wk1</v>
      </c>
      <c r="G293" s="8">
        <v>0</v>
      </c>
      <c r="H293" s="8">
        <v>0</v>
      </c>
      <c r="I293" s="8">
        <v>0</v>
      </c>
      <c r="J293" s="8">
        <v>0</v>
      </c>
      <c r="K293" s="8">
        <v>0</v>
      </c>
      <c r="L293" s="8">
        <v>0</v>
      </c>
      <c r="M293" s="8">
        <v>0</v>
      </c>
      <c r="N293" s="8">
        <v>1</v>
      </c>
      <c r="O293" s="8">
        <v>1</v>
      </c>
      <c r="P293" s="8">
        <v>1</v>
      </c>
      <c r="Q293" s="8">
        <v>0</v>
      </c>
      <c r="R293" s="8">
        <v>0</v>
      </c>
      <c r="S293" s="8">
        <v>0</v>
      </c>
      <c r="T293" s="8">
        <v>0</v>
      </c>
      <c r="U293" s="8">
        <v>0</v>
      </c>
      <c r="V293" s="8">
        <v>0</v>
      </c>
      <c r="W293" s="8">
        <v>0</v>
      </c>
      <c r="X293" s="8">
        <v>0</v>
      </c>
      <c r="Y293" s="8">
        <v>0</v>
      </c>
      <c r="Z293" s="8">
        <v>0.2</v>
      </c>
      <c r="AA293" s="8">
        <v>0.2</v>
      </c>
      <c r="AB293" s="8">
        <v>0.2</v>
      </c>
      <c r="AC293" s="8">
        <v>0.2</v>
      </c>
      <c r="AD293" s="8">
        <v>0</v>
      </c>
    </row>
    <row r="294" spans="1:30" ht="25" hidden="1" x14ac:dyDescent="0.25">
      <c r="A294" s="8">
        <v>1262</v>
      </c>
      <c r="B294" s="7" t="s">
        <v>181</v>
      </c>
      <c r="C294" s="7" t="s">
        <v>373</v>
      </c>
      <c r="D294" s="8">
        <v>0.23157894736842108</v>
      </c>
      <c r="E294" s="7" t="s">
        <v>375</v>
      </c>
      <c r="F294" s="7" t="str">
        <f t="shared" si="4"/>
        <v>Wk2</v>
      </c>
      <c r="G294" s="8">
        <v>0</v>
      </c>
      <c r="H294" s="8">
        <v>0</v>
      </c>
      <c r="I294" s="8">
        <v>0</v>
      </c>
      <c r="J294" s="8">
        <v>0</v>
      </c>
      <c r="K294" s="8">
        <v>0</v>
      </c>
      <c r="L294" s="8">
        <v>0</v>
      </c>
      <c r="M294" s="8">
        <v>0</v>
      </c>
      <c r="N294" s="8">
        <v>1</v>
      </c>
      <c r="O294" s="8">
        <v>1</v>
      </c>
      <c r="P294" s="8">
        <v>1</v>
      </c>
      <c r="Q294" s="8">
        <v>0</v>
      </c>
      <c r="R294" s="8">
        <v>0</v>
      </c>
      <c r="S294" s="8">
        <v>0</v>
      </c>
      <c r="T294" s="8">
        <v>0</v>
      </c>
      <c r="U294" s="8">
        <v>0</v>
      </c>
      <c r="V294" s="8">
        <v>0</v>
      </c>
      <c r="W294" s="8">
        <v>0</v>
      </c>
      <c r="X294" s="8">
        <v>0</v>
      </c>
      <c r="Y294" s="8">
        <v>0</v>
      </c>
      <c r="Z294" s="8">
        <v>0.2</v>
      </c>
      <c r="AA294" s="8">
        <v>0.2</v>
      </c>
      <c r="AB294" s="8">
        <v>0.2</v>
      </c>
      <c r="AC294" s="8">
        <v>0.2</v>
      </c>
      <c r="AD294" s="8">
        <v>0</v>
      </c>
    </row>
    <row r="295" spans="1:30" ht="25" hidden="1" x14ac:dyDescent="0.25">
      <c r="A295" s="8">
        <v>1263</v>
      </c>
      <c r="B295" s="7" t="s">
        <v>217</v>
      </c>
      <c r="C295" s="7" t="s">
        <v>373</v>
      </c>
      <c r="D295" s="8">
        <v>0.12038095238095242</v>
      </c>
      <c r="E295" s="7" t="s">
        <v>376</v>
      </c>
      <c r="F295" s="7" t="str">
        <f t="shared" si="4"/>
        <v>Wk2</v>
      </c>
      <c r="G295" s="8">
        <v>1</v>
      </c>
      <c r="H295" s="8">
        <v>1</v>
      </c>
      <c r="I295" s="8">
        <v>1</v>
      </c>
      <c r="J295" s="8">
        <v>1</v>
      </c>
      <c r="K295" s="8">
        <v>1</v>
      </c>
      <c r="L295" s="8">
        <v>1</v>
      </c>
      <c r="M295" s="8">
        <v>1</v>
      </c>
      <c r="N295" s="8">
        <v>0.5</v>
      </c>
      <c r="O295" s="8">
        <v>0.25</v>
      </c>
      <c r="P295" s="8">
        <v>0</v>
      </c>
      <c r="Q295" s="8">
        <v>0</v>
      </c>
      <c r="R295" s="8">
        <v>0</v>
      </c>
      <c r="S295" s="8">
        <v>0</v>
      </c>
      <c r="T295" s="8">
        <v>0</v>
      </c>
      <c r="U295" s="8">
        <v>0</v>
      </c>
      <c r="V295" s="8">
        <v>0</v>
      </c>
      <c r="W295" s="8">
        <v>0</v>
      </c>
      <c r="X295" s="8">
        <v>0</v>
      </c>
      <c r="Y295" s="8">
        <v>0</v>
      </c>
      <c r="Z295" s="8">
        <v>0</v>
      </c>
      <c r="AA295" s="8">
        <v>0</v>
      </c>
      <c r="AB295" s="8">
        <v>0</v>
      </c>
      <c r="AC295" s="8">
        <v>0.25</v>
      </c>
      <c r="AD295" s="8">
        <v>0.75</v>
      </c>
    </row>
    <row r="296" spans="1:30" ht="25" hidden="1" x14ac:dyDescent="0.25">
      <c r="A296" s="6">
        <v>1263</v>
      </c>
      <c r="B296" s="7" t="s">
        <v>217</v>
      </c>
      <c r="C296" s="7" t="s">
        <v>373</v>
      </c>
      <c r="D296" s="8">
        <v>0.12038095238095242</v>
      </c>
      <c r="E296" s="7" t="s">
        <v>377</v>
      </c>
      <c r="F296" s="7" t="str">
        <f t="shared" si="4"/>
        <v>Wk1</v>
      </c>
      <c r="G296" s="8">
        <v>1</v>
      </c>
      <c r="H296" s="8">
        <v>1</v>
      </c>
      <c r="I296" s="8">
        <v>1</v>
      </c>
      <c r="J296" s="8">
        <v>1</v>
      </c>
      <c r="K296" s="8">
        <v>1</v>
      </c>
      <c r="L296" s="8">
        <v>1</v>
      </c>
      <c r="M296" s="8">
        <v>1</v>
      </c>
      <c r="N296" s="8">
        <v>0.5</v>
      </c>
      <c r="O296" s="8">
        <v>0.25</v>
      </c>
      <c r="P296" s="8">
        <v>0</v>
      </c>
      <c r="Q296" s="8">
        <v>0</v>
      </c>
      <c r="R296" s="8">
        <v>0</v>
      </c>
      <c r="S296" s="8">
        <v>0</v>
      </c>
      <c r="T296" s="8">
        <v>0</v>
      </c>
      <c r="U296" s="8">
        <v>0</v>
      </c>
      <c r="V296" s="8">
        <v>0</v>
      </c>
      <c r="W296" s="8">
        <v>0</v>
      </c>
      <c r="X296" s="8">
        <v>0</v>
      </c>
      <c r="Y296" s="8">
        <v>0</v>
      </c>
      <c r="Z296" s="8">
        <v>0</v>
      </c>
      <c r="AA296" s="8">
        <v>0</v>
      </c>
      <c r="AB296" s="8">
        <v>0</v>
      </c>
      <c r="AC296" s="8">
        <v>0.25</v>
      </c>
      <c r="AD296" s="8">
        <v>0.75</v>
      </c>
    </row>
    <row r="297" spans="1:30" ht="37.5" hidden="1" x14ac:dyDescent="0.25">
      <c r="A297" s="6">
        <v>1264</v>
      </c>
      <c r="B297" s="7" t="s">
        <v>53</v>
      </c>
      <c r="C297" s="7" t="s">
        <v>373</v>
      </c>
      <c r="D297" s="8">
        <v>0.13386904761904769</v>
      </c>
      <c r="E297" s="7" t="s">
        <v>378</v>
      </c>
      <c r="F297" s="7" t="str">
        <f t="shared" si="4"/>
        <v>Wk1</v>
      </c>
      <c r="G297" s="8">
        <v>0</v>
      </c>
      <c r="H297" s="8">
        <v>0</v>
      </c>
      <c r="I297" s="8">
        <v>0</v>
      </c>
      <c r="J297" s="8">
        <v>0</v>
      </c>
      <c r="K297" s="8">
        <v>0</v>
      </c>
      <c r="L297" s="8">
        <v>0</v>
      </c>
      <c r="M297" s="8">
        <v>0</v>
      </c>
      <c r="N297" s="8">
        <v>0</v>
      </c>
      <c r="O297" s="8">
        <v>0</v>
      </c>
      <c r="P297" s="8">
        <v>0.75</v>
      </c>
      <c r="Q297" s="8">
        <v>1</v>
      </c>
      <c r="R297" s="8">
        <v>1</v>
      </c>
      <c r="S297" s="8">
        <v>0.75</v>
      </c>
      <c r="T297" s="8">
        <v>0.75</v>
      </c>
      <c r="U297" s="8">
        <v>1</v>
      </c>
      <c r="V297" s="8">
        <v>1</v>
      </c>
      <c r="W297" s="8">
        <v>1</v>
      </c>
      <c r="X297" s="8">
        <v>0.75</v>
      </c>
      <c r="Y297" s="8">
        <v>0</v>
      </c>
      <c r="Z297" s="8">
        <v>0</v>
      </c>
      <c r="AA297" s="8">
        <v>0</v>
      </c>
      <c r="AB297" s="8">
        <v>0</v>
      </c>
      <c r="AC297" s="8">
        <v>0</v>
      </c>
      <c r="AD297" s="8">
        <v>0</v>
      </c>
    </row>
    <row r="298" spans="1:30" ht="37.5" hidden="1" x14ac:dyDescent="0.25">
      <c r="A298" s="8">
        <v>1264</v>
      </c>
      <c r="B298" s="7" t="s">
        <v>53</v>
      </c>
      <c r="C298" s="7" t="s">
        <v>373</v>
      </c>
      <c r="D298" s="8">
        <v>0.13386904761904769</v>
      </c>
      <c r="E298" s="7" t="s">
        <v>379</v>
      </c>
      <c r="F298" s="7" t="str">
        <f t="shared" si="4"/>
        <v>Wk2</v>
      </c>
      <c r="G298" s="8">
        <v>0</v>
      </c>
      <c r="H298" s="8">
        <v>0</v>
      </c>
      <c r="I298" s="8">
        <v>0</v>
      </c>
      <c r="J298" s="8">
        <v>0</v>
      </c>
      <c r="K298" s="8">
        <v>0</v>
      </c>
      <c r="L298" s="8">
        <v>0</v>
      </c>
      <c r="M298" s="8">
        <v>0</v>
      </c>
      <c r="N298" s="8">
        <v>0</v>
      </c>
      <c r="O298" s="8">
        <v>0</v>
      </c>
      <c r="P298" s="8">
        <v>0.75</v>
      </c>
      <c r="Q298" s="8">
        <v>1</v>
      </c>
      <c r="R298" s="8">
        <v>1</v>
      </c>
      <c r="S298" s="8">
        <v>0.75</v>
      </c>
      <c r="T298" s="8">
        <v>0.75</v>
      </c>
      <c r="U298" s="8">
        <v>1</v>
      </c>
      <c r="V298" s="8">
        <v>1</v>
      </c>
      <c r="W298" s="8">
        <v>1</v>
      </c>
      <c r="X298" s="8">
        <v>0.75</v>
      </c>
      <c r="Y298" s="8">
        <v>0</v>
      </c>
      <c r="Z298" s="8">
        <v>0</v>
      </c>
      <c r="AA298" s="8">
        <v>0</v>
      </c>
      <c r="AB298" s="8">
        <v>0</v>
      </c>
      <c r="AC298" s="8">
        <v>0</v>
      </c>
      <c r="AD298" s="8">
        <v>0</v>
      </c>
    </row>
    <row r="299" spans="1:30" ht="37.5" hidden="1" x14ac:dyDescent="0.25">
      <c r="A299" s="6">
        <v>1265</v>
      </c>
      <c r="B299" s="7" t="s">
        <v>41</v>
      </c>
      <c r="C299" s="7" t="s">
        <v>373</v>
      </c>
      <c r="D299" s="8">
        <v>0.10647435897435899</v>
      </c>
      <c r="E299" s="7" t="s">
        <v>380</v>
      </c>
      <c r="F299" s="7" t="str">
        <f t="shared" si="4"/>
        <v>Wk1</v>
      </c>
      <c r="G299" s="8">
        <v>0</v>
      </c>
      <c r="H299" s="8">
        <v>0</v>
      </c>
      <c r="I299" s="8">
        <v>0</v>
      </c>
      <c r="J299" s="8">
        <v>0</v>
      </c>
      <c r="K299" s="8">
        <v>0</v>
      </c>
      <c r="L299" s="8">
        <v>0</v>
      </c>
      <c r="M299" s="8">
        <v>0</v>
      </c>
      <c r="N299" s="8">
        <v>0</v>
      </c>
      <c r="O299" s="8">
        <v>1</v>
      </c>
      <c r="P299" s="8">
        <v>1</v>
      </c>
      <c r="Q299" s="8">
        <v>1</v>
      </c>
      <c r="R299" s="8">
        <v>1</v>
      </c>
      <c r="S299" s="8">
        <v>1</v>
      </c>
      <c r="T299" s="8">
        <v>1</v>
      </c>
      <c r="U299" s="8">
        <v>1</v>
      </c>
      <c r="V299" s="8">
        <v>1</v>
      </c>
      <c r="W299" s="8">
        <v>1</v>
      </c>
      <c r="X299" s="8">
        <v>1</v>
      </c>
      <c r="Y299" s="8">
        <v>0</v>
      </c>
      <c r="Z299" s="8">
        <v>0</v>
      </c>
      <c r="AA299" s="8">
        <v>0</v>
      </c>
      <c r="AB299" s="8">
        <v>0</v>
      </c>
      <c r="AC299" s="8">
        <v>0</v>
      </c>
      <c r="AD299" s="8">
        <v>0</v>
      </c>
    </row>
    <row r="300" spans="1:30" ht="37.5" hidden="1" x14ac:dyDescent="0.25">
      <c r="A300" s="8">
        <v>1265</v>
      </c>
      <c r="B300" s="7" t="s">
        <v>41</v>
      </c>
      <c r="C300" s="7" t="s">
        <v>373</v>
      </c>
      <c r="D300" s="8">
        <v>0.10647435897435899</v>
      </c>
      <c r="E300" s="7" t="s">
        <v>381</v>
      </c>
      <c r="F300" s="7" t="str">
        <f t="shared" si="4"/>
        <v>Wk2</v>
      </c>
      <c r="G300" s="8">
        <v>0</v>
      </c>
      <c r="H300" s="8">
        <v>0</v>
      </c>
      <c r="I300" s="8">
        <v>0</v>
      </c>
      <c r="J300" s="8">
        <v>0</v>
      </c>
      <c r="K300" s="8">
        <v>0</v>
      </c>
      <c r="L300" s="8">
        <v>0</v>
      </c>
      <c r="M300" s="8">
        <v>0</v>
      </c>
      <c r="N300" s="8">
        <v>0</v>
      </c>
      <c r="O300" s="8">
        <v>0</v>
      </c>
      <c r="P300" s="8">
        <v>1</v>
      </c>
      <c r="Q300" s="8">
        <v>1</v>
      </c>
      <c r="R300" s="8">
        <v>1</v>
      </c>
      <c r="S300" s="8">
        <v>1</v>
      </c>
      <c r="T300" s="8">
        <v>1</v>
      </c>
      <c r="U300" s="8">
        <v>1</v>
      </c>
      <c r="V300" s="8">
        <v>1</v>
      </c>
      <c r="W300" s="8">
        <v>1</v>
      </c>
      <c r="X300" s="8">
        <v>0</v>
      </c>
      <c r="Y300" s="8">
        <v>0</v>
      </c>
      <c r="Z300" s="8">
        <v>0</v>
      </c>
      <c r="AA300" s="8">
        <v>0</v>
      </c>
      <c r="AB300" s="8">
        <v>0</v>
      </c>
      <c r="AC300" s="8">
        <v>0</v>
      </c>
      <c r="AD300" s="8">
        <v>0</v>
      </c>
    </row>
    <row r="301" spans="1:30" ht="37.5" hidden="1" x14ac:dyDescent="0.25">
      <c r="A301" s="8">
        <v>1266</v>
      </c>
      <c r="B301" s="7" t="s">
        <v>177</v>
      </c>
      <c r="C301" s="7" t="s">
        <v>373</v>
      </c>
      <c r="D301" s="8">
        <v>0.2034246575342466</v>
      </c>
      <c r="E301" s="7" t="s">
        <v>382</v>
      </c>
      <c r="F301" s="7" t="str">
        <f t="shared" si="4"/>
        <v>Wk2</v>
      </c>
      <c r="G301" s="8">
        <v>0</v>
      </c>
      <c r="H301" s="8">
        <v>0</v>
      </c>
      <c r="I301" s="8">
        <v>0</v>
      </c>
      <c r="J301" s="8">
        <v>0</v>
      </c>
      <c r="K301" s="8">
        <v>0</v>
      </c>
      <c r="L301" s="8">
        <v>0</v>
      </c>
      <c r="M301" s="8">
        <v>0</v>
      </c>
      <c r="N301" s="8">
        <v>0</v>
      </c>
      <c r="O301" s="8">
        <v>0</v>
      </c>
      <c r="P301" s="8">
        <v>1</v>
      </c>
      <c r="Q301" s="8">
        <v>1</v>
      </c>
      <c r="R301" s="8">
        <v>1</v>
      </c>
      <c r="S301" s="8">
        <v>1</v>
      </c>
      <c r="T301" s="8">
        <v>1</v>
      </c>
      <c r="U301" s="8">
        <v>1</v>
      </c>
      <c r="V301" s="8">
        <v>1</v>
      </c>
      <c r="W301" s="8">
        <v>1</v>
      </c>
      <c r="X301" s="8">
        <v>0</v>
      </c>
      <c r="Y301" s="8">
        <v>0</v>
      </c>
      <c r="Z301" s="8">
        <v>0</v>
      </c>
      <c r="AA301" s="8">
        <v>0</v>
      </c>
      <c r="AB301" s="8">
        <v>0</v>
      </c>
      <c r="AC301" s="8">
        <v>0</v>
      </c>
      <c r="AD301" s="8">
        <v>0</v>
      </c>
    </row>
    <row r="302" spans="1:30" ht="37.5" hidden="1" x14ac:dyDescent="0.25">
      <c r="A302" s="6">
        <v>1266</v>
      </c>
      <c r="B302" s="7" t="s">
        <v>177</v>
      </c>
      <c r="C302" s="7" t="s">
        <v>373</v>
      </c>
      <c r="D302" s="8">
        <v>0.2034246575342466</v>
      </c>
      <c r="E302" s="7" t="s">
        <v>383</v>
      </c>
      <c r="F302" s="7" t="str">
        <f t="shared" si="4"/>
        <v>Wk1</v>
      </c>
      <c r="G302" s="8">
        <v>0</v>
      </c>
      <c r="H302" s="8">
        <v>0</v>
      </c>
      <c r="I302" s="8">
        <v>0</v>
      </c>
      <c r="J302" s="8">
        <v>0</v>
      </c>
      <c r="K302" s="8">
        <v>0</v>
      </c>
      <c r="L302" s="8">
        <v>0</v>
      </c>
      <c r="M302" s="8">
        <v>0</v>
      </c>
      <c r="N302" s="8">
        <v>0.25</v>
      </c>
      <c r="O302" s="8">
        <v>0.5</v>
      </c>
      <c r="P302" s="8">
        <v>1</v>
      </c>
      <c r="Q302" s="8">
        <v>1</v>
      </c>
      <c r="R302" s="8">
        <v>1</v>
      </c>
      <c r="S302" s="8">
        <v>0.75</v>
      </c>
      <c r="T302" s="8">
        <v>0.75</v>
      </c>
      <c r="U302" s="8">
        <v>1</v>
      </c>
      <c r="V302" s="8">
        <v>1</v>
      </c>
      <c r="W302" s="8">
        <v>1</v>
      </c>
      <c r="X302" s="8">
        <v>0.5</v>
      </c>
      <c r="Y302" s="8">
        <v>0.25</v>
      </c>
      <c r="Z302" s="8">
        <v>0</v>
      </c>
      <c r="AA302" s="8">
        <v>0</v>
      </c>
      <c r="AB302" s="8">
        <v>0</v>
      </c>
      <c r="AC302" s="8">
        <v>0</v>
      </c>
      <c r="AD302" s="8">
        <v>0</v>
      </c>
    </row>
    <row r="303" spans="1:30" ht="50" hidden="1" x14ac:dyDescent="0.25">
      <c r="A303" s="6">
        <v>1267</v>
      </c>
      <c r="B303" s="7" t="s">
        <v>368</v>
      </c>
      <c r="C303" s="7" t="s">
        <v>373</v>
      </c>
      <c r="D303" s="8">
        <v>0.1141621621621622</v>
      </c>
      <c r="E303" s="7" t="s">
        <v>384</v>
      </c>
      <c r="F303" s="7" t="str">
        <f t="shared" si="4"/>
        <v>Wk1</v>
      </c>
      <c r="G303" s="8">
        <v>0</v>
      </c>
      <c r="H303" s="8">
        <v>0</v>
      </c>
      <c r="I303" s="8">
        <v>0</v>
      </c>
      <c r="J303" s="8">
        <v>0</v>
      </c>
      <c r="K303" s="8">
        <v>0</v>
      </c>
      <c r="L303" s="8">
        <v>0</v>
      </c>
      <c r="M303" s="8">
        <v>0</v>
      </c>
      <c r="N303" s="8">
        <v>0.25</v>
      </c>
      <c r="O303" s="8">
        <v>0.25</v>
      </c>
      <c r="P303" s="8">
        <v>0.5</v>
      </c>
      <c r="Q303" s="8">
        <v>0.5</v>
      </c>
      <c r="R303" s="8">
        <v>0.5</v>
      </c>
      <c r="S303" s="8">
        <v>1</v>
      </c>
      <c r="T303" s="8">
        <v>1</v>
      </c>
      <c r="U303" s="8">
        <v>0.5</v>
      </c>
      <c r="V303" s="8">
        <v>0.25</v>
      </c>
      <c r="W303" s="8">
        <v>0.25</v>
      </c>
      <c r="X303" s="8">
        <v>0.25</v>
      </c>
      <c r="Y303" s="8">
        <v>0.5</v>
      </c>
      <c r="Z303" s="8">
        <v>1</v>
      </c>
      <c r="AA303" s="8">
        <v>1</v>
      </c>
      <c r="AB303" s="8">
        <v>1</v>
      </c>
      <c r="AC303" s="8">
        <v>0.5</v>
      </c>
      <c r="AD303" s="8">
        <v>0</v>
      </c>
    </row>
    <row r="304" spans="1:30" ht="50" hidden="1" x14ac:dyDescent="0.25">
      <c r="A304" s="8">
        <v>1267</v>
      </c>
      <c r="B304" s="7" t="s">
        <v>368</v>
      </c>
      <c r="C304" s="7" t="s">
        <v>373</v>
      </c>
      <c r="D304" s="8">
        <v>0.1141621621621622</v>
      </c>
      <c r="E304" s="7" t="s">
        <v>385</v>
      </c>
      <c r="F304" s="7" t="str">
        <f t="shared" si="4"/>
        <v>Wk2</v>
      </c>
      <c r="G304" s="8">
        <v>0</v>
      </c>
      <c r="H304" s="8">
        <v>0</v>
      </c>
      <c r="I304" s="8">
        <v>0</v>
      </c>
      <c r="J304" s="8">
        <v>0</v>
      </c>
      <c r="K304" s="8">
        <v>0</v>
      </c>
      <c r="L304" s="8">
        <v>0</v>
      </c>
      <c r="M304" s="8">
        <v>0</v>
      </c>
      <c r="N304" s="8">
        <v>0</v>
      </c>
      <c r="O304" s="8">
        <v>0</v>
      </c>
      <c r="P304" s="8">
        <v>0</v>
      </c>
      <c r="Q304" s="8">
        <v>0</v>
      </c>
      <c r="R304" s="8">
        <v>0</v>
      </c>
      <c r="S304" s="8">
        <v>0</v>
      </c>
      <c r="T304" s="8">
        <v>0</v>
      </c>
      <c r="U304" s="8">
        <v>0</v>
      </c>
      <c r="V304" s="8">
        <v>0</v>
      </c>
      <c r="W304" s="8">
        <v>0</v>
      </c>
      <c r="X304" s="8">
        <v>0</v>
      </c>
      <c r="Y304" s="8">
        <v>0</v>
      </c>
      <c r="Z304" s="8">
        <v>0</v>
      </c>
      <c r="AA304" s="8">
        <v>0</v>
      </c>
      <c r="AB304" s="8">
        <v>0</v>
      </c>
      <c r="AC304" s="8">
        <v>0</v>
      </c>
      <c r="AD304" s="8">
        <v>0</v>
      </c>
    </row>
    <row r="305" spans="1:30" ht="37.5" hidden="1" x14ac:dyDescent="0.25">
      <c r="A305" s="6">
        <v>1268</v>
      </c>
      <c r="B305" s="7" t="s">
        <v>80</v>
      </c>
      <c r="C305" s="7" t="s">
        <v>373</v>
      </c>
      <c r="D305" s="8">
        <v>5.3620218580327859E-2</v>
      </c>
      <c r="E305" s="7" t="s">
        <v>386</v>
      </c>
      <c r="F305" s="7" t="str">
        <f t="shared" si="4"/>
        <v>Wk1</v>
      </c>
      <c r="G305" s="8">
        <v>0</v>
      </c>
      <c r="H305" s="8">
        <v>0</v>
      </c>
      <c r="I305" s="8">
        <v>0</v>
      </c>
      <c r="J305" s="8">
        <v>0</v>
      </c>
      <c r="K305" s="8">
        <v>0</v>
      </c>
      <c r="L305" s="8">
        <v>0</v>
      </c>
      <c r="M305" s="8">
        <v>0</v>
      </c>
      <c r="N305" s="8">
        <v>0.25</v>
      </c>
      <c r="O305" s="8">
        <v>0.5</v>
      </c>
      <c r="P305" s="8">
        <v>1</v>
      </c>
      <c r="Q305" s="8">
        <v>1</v>
      </c>
      <c r="R305" s="8">
        <v>1</v>
      </c>
      <c r="S305" s="8">
        <v>0.75</v>
      </c>
      <c r="T305" s="8">
        <v>0.75</v>
      </c>
      <c r="U305" s="8">
        <v>1</v>
      </c>
      <c r="V305" s="8">
        <v>1</v>
      </c>
      <c r="W305" s="8">
        <v>1</v>
      </c>
      <c r="X305" s="8">
        <v>0.5</v>
      </c>
      <c r="Y305" s="8">
        <v>0.25</v>
      </c>
      <c r="Z305" s="8">
        <v>0</v>
      </c>
      <c r="AA305" s="8">
        <v>0</v>
      </c>
      <c r="AB305" s="8">
        <v>0</v>
      </c>
      <c r="AC305" s="8">
        <v>0</v>
      </c>
      <c r="AD305" s="8">
        <v>0</v>
      </c>
    </row>
    <row r="306" spans="1:30" ht="37.5" hidden="1" x14ac:dyDescent="0.25">
      <c r="A306" s="8">
        <v>1268</v>
      </c>
      <c r="B306" s="7" t="s">
        <v>80</v>
      </c>
      <c r="C306" s="7" t="s">
        <v>373</v>
      </c>
      <c r="D306" s="8">
        <v>5.3620218580327859E-2</v>
      </c>
      <c r="E306" s="7" t="s">
        <v>387</v>
      </c>
      <c r="F306" s="7" t="str">
        <f t="shared" si="4"/>
        <v>Wk2</v>
      </c>
      <c r="G306" s="8">
        <v>0</v>
      </c>
      <c r="H306" s="8">
        <v>0</v>
      </c>
      <c r="I306" s="8">
        <v>0</v>
      </c>
      <c r="J306" s="8">
        <v>0</v>
      </c>
      <c r="K306" s="8">
        <v>0</v>
      </c>
      <c r="L306" s="8">
        <v>0</v>
      </c>
      <c r="M306" s="8">
        <v>0</v>
      </c>
      <c r="N306" s="8">
        <v>0</v>
      </c>
      <c r="O306" s="8">
        <v>0</v>
      </c>
      <c r="P306" s="8">
        <v>0</v>
      </c>
      <c r="Q306" s="8">
        <v>0</v>
      </c>
      <c r="R306" s="8">
        <v>0</v>
      </c>
      <c r="S306" s="8">
        <v>0</v>
      </c>
      <c r="T306" s="8">
        <v>0</v>
      </c>
      <c r="U306" s="8">
        <v>0</v>
      </c>
      <c r="V306" s="8">
        <v>0</v>
      </c>
      <c r="W306" s="8">
        <v>0</v>
      </c>
      <c r="X306" s="8">
        <v>0</v>
      </c>
      <c r="Y306" s="8">
        <v>0</v>
      </c>
      <c r="Z306" s="8">
        <v>0</v>
      </c>
      <c r="AA306" s="8">
        <v>0</v>
      </c>
      <c r="AB306" s="8">
        <v>0</v>
      </c>
      <c r="AC306" s="8">
        <v>0</v>
      </c>
      <c r="AD306" s="8">
        <v>0</v>
      </c>
    </row>
    <row r="307" spans="1:30" ht="37.5" x14ac:dyDescent="0.25">
      <c r="A307" s="6">
        <v>1269</v>
      </c>
      <c r="B307" s="7" t="s">
        <v>57</v>
      </c>
      <c r="C307" s="7" t="s">
        <v>373</v>
      </c>
      <c r="D307" s="8">
        <v>0.2062385321100918</v>
      </c>
      <c r="E307" s="7" t="s">
        <v>388</v>
      </c>
      <c r="F307" s="7" t="str">
        <f t="shared" si="4"/>
        <v>Wk1</v>
      </c>
      <c r="G307" s="8">
        <v>0</v>
      </c>
      <c r="H307" s="8">
        <v>0</v>
      </c>
      <c r="I307" s="8">
        <v>0</v>
      </c>
      <c r="J307" s="8">
        <v>0</v>
      </c>
      <c r="K307" s="8">
        <v>0</v>
      </c>
      <c r="L307" s="8">
        <v>0</v>
      </c>
      <c r="M307" s="8">
        <v>0</v>
      </c>
      <c r="N307" s="8">
        <v>0</v>
      </c>
      <c r="O307" s="8">
        <v>0</v>
      </c>
      <c r="P307" s="8">
        <v>0.75</v>
      </c>
      <c r="Q307" s="8">
        <v>1</v>
      </c>
      <c r="R307" s="8">
        <v>1</v>
      </c>
      <c r="S307" s="8">
        <v>0.75</v>
      </c>
      <c r="T307" s="8">
        <v>0.75</v>
      </c>
      <c r="U307" s="8">
        <v>1</v>
      </c>
      <c r="V307" s="8">
        <v>1</v>
      </c>
      <c r="W307" s="8">
        <v>1</v>
      </c>
      <c r="X307" s="8">
        <v>0.75</v>
      </c>
      <c r="Y307" s="8">
        <v>0</v>
      </c>
      <c r="Z307" s="8">
        <v>0</v>
      </c>
      <c r="AA307" s="8">
        <v>0</v>
      </c>
      <c r="AB307" s="8">
        <v>0</v>
      </c>
      <c r="AC307" s="8">
        <v>0</v>
      </c>
      <c r="AD307" s="8">
        <v>0</v>
      </c>
    </row>
    <row r="308" spans="1:30" ht="37.5" hidden="1" x14ac:dyDescent="0.25">
      <c r="A308" s="8">
        <v>1269</v>
      </c>
      <c r="B308" s="7" t="s">
        <v>57</v>
      </c>
      <c r="C308" s="7" t="s">
        <v>373</v>
      </c>
      <c r="D308" s="8">
        <v>0.2062385321100918</v>
      </c>
      <c r="E308" s="7" t="s">
        <v>389</v>
      </c>
      <c r="F308" s="7" t="str">
        <f t="shared" si="4"/>
        <v>Wk2</v>
      </c>
      <c r="G308" s="8">
        <v>0</v>
      </c>
      <c r="H308" s="8">
        <v>0</v>
      </c>
      <c r="I308" s="8">
        <v>0</v>
      </c>
      <c r="J308" s="8">
        <v>0</v>
      </c>
      <c r="K308" s="8">
        <v>0</v>
      </c>
      <c r="L308" s="8">
        <v>0</v>
      </c>
      <c r="M308" s="8">
        <v>0</v>
      </c>
      <c r="N308" s="8">
        <v>0</v>
      </c>
      <c r="O308" s="8">
        <v>0</v>
      </c>
      <c r="P308" s="8">
        <v>0</v>
      </c>
      <c r="Q308" s="8">
        <v>0</v>
      </c>
      <c r="R308" s="8">
        <v>0.25</v>
      </c>
      <c r="S308" s="8">
        <v>1</v>
      </c>
      <c r="T308" s="8">
        <v>1</v>
      </c>
      <c r="U308" s="8">
        <v>0.75</v>
      </c>
      <c r="V308" s="8">
        <v>0</v>
      </c>
      <c r="W308" s="8">
        <v>0</v>
      </c>
      <c r="X308" s="8">
        <v>0</v>
      </c>
      <c r="Y308" s="8">
        <v>0</v>
      </c>
      <c r="Z308" s="8">
        <v>0</v>
      </c>
      <c r="AA308" s="8">
        <v>0</v>
      </c>
      <c r="AB308" s="8">
        <v>0</v>
      </c>
      <c r="AC308" s="8">
        <v>0</v>
      </c>
      <c r="AD308" s="8">
        <v>0</v>
      </c>
    </row>
    <row r="309" spans="1:30" ht="37.5" hidden="1" x14ac:dyDescent="0.25">
      <c r="A309" s="6">
        <v>1270</v>
      </c>
      <c r="B309" s="7" t="s">
        <v>51</v>
      </c>
      <c r="C309" s="7" t="s">
        <v>373</v>
      </c>
      <c r="D309" s="8">
        <v>0.18230874317311468</v>
      </c>
      <c r="E309" s="7" t="s">
        <v>390</v>
      </c>
      <c r="F309" s="7" t="str">
        <f t="shared" si="4"/>
        <v>Wk1</v>
      </c>
      <c r="G309" s="8">
        <v>0</v>
      </c>
      <c r="H309" s="8">
        <v>0</v>
      </c>
      <c r="I309" s="8">
        <v>0</v>
      </c>
      <c r="J309" s="8">
        <v>0</v>
      </c>
      <c r="K309" s="8">
        <v>0</v>
      </c>
      <c r="L309" s="8">
        <v>0</v>
      </c>
      <c r="M309" s="8">
        <v>0</v>
      </c>
      <c r="N309" s="8">
        <v>0.25</v>
      </c>
      <c r="O309" s="8">
        <v>0.5</v>
      </c>
      <c r="P309" s="8">
        <v>1</v>
      </c>
      <c r="Q309" s="8">
        <v>1</v>
      </c>
      <c r="R309" s="8">
        <v>1</v>
      </c>
      <c r="S309" s="8">
        <v>0.75</v>
      </c>
      <c r="T309" s="8">
        <v>0.75</v>
      </c>
      <c r="U309" s="8">
        <v>1</v>
      </c>
      <c r="V309" s="8">
        <v>1</v>
      </c>
      <c r="W309" s="8">
        <v>1</v>
      </c>
      <c r="X309" s="8">
        <v>0.5</v>
      </c>
      <c r="Y309" s="8">
        <v>0.25</v>
      </c>
      <c r="Z309" s="8">
        <v>0</v>
      </c>
      <c r="AA309" s="8">
        <v>0</v>
      </c>
      <c r="AB309" s="8">
        <v>0</v>
      </c>
      <c r="AC309" s="8">
        <v>0</v>
      </c>
      <c r="AD309" s="8">
        <v>0</v>
      </c>
    </row>
    <row r="310" spans="1:30" ht="37.5" hidden="1" x14ac:dyDescent="0.25">
      <c r="A310" s="8">
        <v>1270</v>
      </c>
      <c r="B310" s="7" t="s">
        <v>51</v>
      </c>
      <c r="C310" s="7" t="s">
        <v>373</v>
      </c>
      <c r="D310" s="8">
        <v>0.18230874317311468</v>
      </c>
      <c r="E310" s="7" t="s">
        <v>391</v>
      </c>
      <c r="F310" s="7" t="str">
        <f t="shared" si="4"/>
        <v>Wk2</v>
      </c>
      <c r="G310" s="8">
        <v>0</v>
      </c>
      <c r="H310" s="8">
        <v>0</v>
      </c>
      <c r="I310" s="8">
        <v>0</v>
      </c>
      <c r="J310" s="8">
        <v>0</v>
      </c>
      <c r="K310" s="8">
        <v>0</v>
      </c>
      <c r="L310" s="8">
        <v>0</v>
      </c>
      <c r="M310" s="8">
        <v>0</v>
      </c>
      <c r="N310" s="8">
        <v>0</v>
      </c>
      <c r="O310" s="8">
        <v>0</v>
      </c>
      <c r="P310" s="8">
        <v>0</v>
      </c>
      <c r="Q310" s="8">
        <v>0</v>
      </c>
      <c r="R310" s="8">
        <v>0</v>
      </c>
      <c r="S310" s="8">
        <v>0</v>
      </c>
      <c r="T310" s="8">
        <v>0</v>
      </c>
      <c r="U310" s="8">
        <v>0</v>
      </c>
      <c r="V310" s="8">
        <v>0</v>
      </c>
      <c r="W310" s="8">
        <v>0</v>
      </c>
      <c r="X310" s="8">
        <v>0</v>
      </c>
      <c r="Y310" s="8">
        <v>0</v>
      </c>
      <c r="Z310" s="8">
        <v>0</v>
      </c>
      <c r="AA310" s="8">
        <v>0</v>
      </c>
      <c r="AB310" s="8">
        <v>0</v>
      </c>
      <c r="AC310" s="8">
        <v>0</v>
      </c>
      <c r="AD310" s="8">
        <v>0</v>
      </c>
    </row>
    <row r="311" spans="1:30" ht="37.5" hidden="1" x14ac:dyDescent="0.25">
      <c r="A311" s="6">
        <v>1271</v>
      </c>
      <c r="B311" s="7" t="s">
        <v>55</v>
      </c>
      <c r="C311" s="7" t="s">
        <v>373</v>
      </c>
      <c r="D311" s="8">
        <v>9.5609589041095927E-2</v>
      </c>
      <c r="E311" s="7" t="s">
        <v>392</v>
      </c>
      <c r="F311" s="7" t="str">
        <f t="shared" si="4"/>
        <v>Wk1</v>
      </c>
      <c r="G311" s="8">
        <v>0</v>
      </c>
      <c r="H311" s="8">
        <v>0</v>
      </c>
      <c r="I311" s="8">
        <v>0</v>
      </c>
      <c r="J311" s="8">
        <v>0</v>
      </c>
      <c r="K311" s="8">
        <v>0</v>
      </c>
      <c r="L311" s="8">
        <v>0</v>
      </c>
      <c r="M311" s="8">
        <v>0</v>
      </c>
      <c r="N311" s="8">
        <v>0</v>
      </c>
      <c r="O311" s="8">
        <v>0</v>
      </c>
      <c r="P311" s="8">
        <v>0.75</v>
      </c>
      <c r="Q311" s="8">
        <v>1</v>
      </c>
      <c r="R311" s="8">
        <v>1</v>
      </c>
      <c r="S311" s="8">
        <v>0.75</v>
      </c>
      <c r="T311" s="8">
        <v>0.75</v>
      </c>
      <c r="U311" s="8">
        <v>1</v>
      </c>
      <c r="V311" s="8">
        <v>1</v>
      </c>
      <c r="W311" s="8">
        <v>1</v>
      </c>
      <c r="X311" s="8">
        <v>0.75</v>
      </c>
      <c r="Y311" s="8">
        <v>0</v>
      </c>
      <c r="Z311" s="8">
        <v>0</v>
      </c>
      <c r="AA311" s="8">
        <v>0</v>
      </c>
      <c r="AB311" s="8">
        <v>0</v>
      </c>
      <c r="AC311" s="8">
        <v>0</v>
      </c>
      <c r="AD311" s="8">
        <v>0</v>
      </c>
    </row>
    <row r="312" spans="1:30" ht="37.5" hidden="1" x14ac:dyDescent="0.25">
      <c r="A312" s="8">
        <v>1271</v>
      </c>
      <c r="B312" s="7" t="s">
        <v>55</v>
      </c>
      <c r="C312" s="7" t="s">
        <v>373</v>
      </c>
      <c r="D312" s="8">
        <v>9.5609589041095927E-2</v>
      </c>
      <c r="E312" s="7" t="s">
        <v>393</v>
      </c>
      <c r="F312" s="7" t="str">
        <f t="shared" si="4"/>
        <v>Wk2</v>
      </c>
      <c r="G312" s="8">
        <v>0</v>
      </c>
      <c r="H312" s="8">
        <v>0</v>
      </c>
      <c r="I312" s="8">
        <v>0</v>
      </c>
      <c r="J312" s="8">
        <v>0</v>
      </c>
      <c r="K312" s="8">
        <v>0</v>
      </c>
      <c r="L312" s="8">
        <v>0</v>
      </c>
      <c r="M312" s="8">
        <v>0</v>
      </c>
      <c r="N312" s="8">
        <v>0</v>
      </c>
      <c r="O312" s="8">
        <v>0</v>
      </c>
      <c r="P312" s="8">
        <v>0.5</v>
      </c>
      <c r="Q312" s="8">
        <v>1</v>
      </c>
      <c r="R312" s="8">
        <v>1</v>
      </c>
      <c r="S312" s="8">
        <v>1</v>
      </c>
      <c r="T312" s="8">
        <v>0.75</v>
      </c>
      <c r="U312" s="8">
        <v>1</v>
      </c>
      <c r="V312" s="8">
        <v>0.75</v>
      </c>
      <c r="W312" s="8">
        <v>0</v>
      </c>
      <c r="X312" s="8">
        <v>0</v>
      </c>
      <c r="Y312" s="8">
        <v>0</v>
      </c>
      <c r="Z312" s="8">
        <v>0</v>
      </c>
      <c r="AA312" s="8">
        <v>0</v>
      </c>
      <c r="AB312" s="8">
        <v>0</v>
      </c>
      <c r="AC312" s="8">
        <v>0</v>
      </c>
      <c r="AD312" s="8">
        <v>0</v>
      </c>
    </row>
    <row r="313" spans="1:30" ht="37.5" hidden="1" x14ac:dyDescent="0.25">
      <c r="A313" s="6">
        <v>1272</v>
      </c>
      <c r="B313" s="7" t="s">
        <v>239</v>
      </c>
      <c r="C313" s="7" t="s">
        <v>373</v>
      </c>
      <c r="D313" s="8">
        <v>0.20166666666666669</v>
      </c>
      <c r="E313" s="7" t="s">
        <v>394</v>
      </c>
      <c r="F313" s="7" t="str">
        <f t="shared" si="4"/>
        <v>Wk1</v>
      </c>
      <c r="G313" s="8">
        <v>0</v>
      </c>
      <c r="H313" s="8">
        <v>0</v>
      </c>
      <c r="I313" s="8">
        <v>0</v>
      </c>
      <c r="J313" s="8">
        <v>0</v>
      </c>
      <c r="K313" s="8">
        <v>0</v>
      </c>
      <c r="L313" s="8">
        <v>0</v>
      </c>
      <c r="M313" s="8">
        <v>0</v>
      </c>
      <c r="N313" s="8">
        <v>0.25</v>
      </c>
      <c r="O313" s="8">
        <v>0.5</v>
      </c>
      <c r="P313" s="8">
        <v>1</v>
      </c>
      <c r="Q313" s="8">
        <v>1</v>
      </c>
      <c r="R313" s="8">
        <v>1</v>
      </c>
      <c r="S313" s="8">
        <v>0.75</v>
      </c>
      <c r="T313" s="8">
        <v>0.75</v>
      </c>
      <c r="U313" s="8">
        <v>1</v>
      </c>
      <c r="V313" s="8">
        <v>1</v>
      </c>
      <c r="W313" s="8">
        <v>1</v>
      </c>
      <c r="X313" s="8">
        <v>0.5</v>
      </c>
      <c r="Y313" s="8">
        <v>0.25</v>
      </c>
      <c r="Z313" s="8">
        <v>0</v>
      </c>
      <c r="AA313" s="8">
        <v>0</v>
      </c>
      <c r="AB313" s="8">
        <v>0</v>
      </c>
      <c r="AC313" s="8">
        <v>0</v>
      </c>
      <c r="AD313" s="8">
        <v>0</v>
      </c>
    </row>
    <row r="314" spans="1:30" ht="37.5" hidden="1" x14ac:dyDescent="0.25">
      <c r="A314" s="8">
        <v>1272</v>
      </c>
      <c r="B314" s="7" t="s">
        <v>239</v>
      </c>
      <c r="C314" s="7" t="s">
        <v>373</v>
      </c>
      <c r="D314" s="8">
        <v>0.20166666666666669</v>
      </c>
      <c r="E314" s="7" t="s">
        <v>395</v>
      </c>
      <c r="F314" s="7" t="str">
        <f t="shared" si="4"/>
        <v>Wk2</v>
      </c>
      <c r="G314" s="8">
        <v>0</v>
      </c>
      <c r="H314" s="8">
        <v>0</v>
      </c>
      <c r="I314" s="8">
        <v>0</v>
      </c>
      <c r="J314" s="8">
        <v>0</v>
      </c>
      <c r="K314" s="8">
        <v>0</v>
      </c>
      <c r="L314" s="8">
        <v>0</v>
      </c>
      <c r="M314" s="8">
        <v>0</v>
      </c>
      <c r="N314" s="8">
        <v>0</v>
      </c>
      <c r="O314" s="8">
        <v>0</v>
      </c>
      <c r="P314" s="8">
        <v>0.5</v>
      </c>
      <c r="Q314" s="8">
        <v>1</v>
      </c>
      <c r="R314" s="8">
        <v>1</v>
      </c>
      <c r="S314" s="8">
        <v>1</v>
      </c>
      <c r="T314" s="8">
        <v>0.75</v>
      </c>
      <c r="U314" s="8">
        <v>1</v>
      </c>
      <c r="V314" s="8">
        <v>0.75</v>
      </c>
      <c r="W314" s="8">
        <v>0</v>
      </c>
      <c r="X314" s="8">
        <v>0</v>
      </c>
      <c r="Y314" s="8">
        <v>0</v>
      </c>
      <c r="Z314" s="8">
        <v>0</v>
      </c>
      <c r="AA314" s="8">
        <v>0</v>
      </c>
      <c r="AB314" s="8">
        <v>0</v>
      </c>
      <c r="AC314" s="8">
        <v>0</v>
      </c>
      <c r="AD314" s="8">
        <v>0</v>
      </c>
    </row>
    <row r="315" spans="1:30" ht="37.5" hidden="1" x14ac:dyDescent="0.25">
      <c r="A315" s="6">
        <v>1273</v>
      </c>
      <c r="B315" s="7" t="s">
        <v>319</v>
      </c>
      <c r="C315" s="7" t="s">
        <v>373</v>
      </c>
      <c r="D315" s="8">
        <v>0.23125000000000001</v>
      </c>
      <c r="E315" s="7" t="s">
        <v>396</v>
      </c>
      <c r="F315" s="7" t="str">
        <f t="shared" si="4"/>
        <v>Wk1</v>
      </c>
      <c r="G315" s="8">
        <v>0</v>
      </c>
      <c r="H315" s="8">
        <v>0</v>
      </c>
      <c r="I315" s="8">
        <v>0</v>
      </c>
      <c r="J315" s="8">
        <v>0</v>
      </c>
      <c r="K315" s="8">
        <v>0</v>
      </c>
      <c r="L315" s="8">
        <v>0</v>
      </c>
      <c r="M315" s="8">
        <v>0</v>
      </c>
      <c r="N315" s="8">
        <v>0</v>
      </c>
      <c r="O315" s="8">
        <v>0</v>
      </c>
      <c r="P315" s="8">
        <v>0.75</v>
      </c>
      <c r="Q315" s="8">
        <v>1</v>
      </c>
      <c r="R315" s="8">
        <v>1</v>
      </c>
      <c r="S315" s="8">
        <v>0.75</v>
      </c>
      <c r="T315" s="8">
        <v>0.75</v>
      </c>
      <c r="U315" s="8">
        <v>1</v>
      </c>
      <c r="V315" s="8">
        <v>1</v>
      </c>
      <c r="W315" s="8">
        <v>1</v>
      </c>
      <c r="X315" s="8">
        <v>0.75</v>
      </c>
      <c r="Y315" s="8">
        <v>0</v>
      </c>
      <c r="Z315" s="8">
        <v>0</v>
      </c>
      <c r="AA315" s="8">
        <v>0</v>
      </c>
      <c r="AB315" s="8">
        <v>0</v>
      </c>
      <c r="AC315" s="8">
        <v>0</v>
      </c>
      <c r="AD315" s="8">
        <v>0</v>
      </c>
    </row>
    <row r="316" spans="1:30" ht="37.5" hidden="1" x14ac:dyDescent="0.25">
      <c r="A316" s="8">
        <v>1273</v>
      </c>
      <c r="B316" s="7" t="s">
        <v>319</v>
      </c>
      <c r="C316" s="7" t="s">
        <v>373</v>
      </c>
      <c r="D316" s="8">
        <v>0.23125000000000001</v>
      </c>
      <c r="E316" s="7" t="s">
        <v>397</v>
      </c>
      <c r="F316" s="7" t="str">
        <f t="shared" si="4"/>
        <v>Wk2</v>
      </c>
      <c r="G316" s="8">
        <v>0</v>
      </c>
      <c r="H316" s="8">
        <v>0</v>
      </c>
      <c r="I316" s="8">
        <v>0</v>
      </c>
      <c r="J316" s="8">
        <v>0</v>
      </c>
      <c r="K316" s="8">
        <v>0</v>
      </c>
      <c r="L316" s="8">
        <v>0</v>
      </c>
      <c r="M316" s="8">
        <v>0</v>
      </c>
      <c r="N316" s="8">
        <v>0</v>
      </c>
      <c r="O316" s="8">
        <v>0</v>
      </c>
      <c r="P316" s="8">
        <v>0</v>
      </c>
      <c r="Q316" s="8">
        <v>0</v>
      </c>
      <c r="R316" s="8">
        <v>0</v>
      </c>
      <c r="S316" s="8">
        <v>0</v>
      </c>
      <c r="T316" s="8">
        <v>0</v>
      </c>
      <c r="U316" s="8">
        <v>0</v>
      </c>
      <c r="V316" s="8">
        <v>0</v>
      </c>
      <c r="W316" s="8">
        <v>0</v>
      </c>
      <c r="X316" s="8">
        <v>0</v>
      </c>
      <c r="Y316" s="8">
        <v>0</v>
      </c>
      <c r="Z316" s="8">
        <v>0</v>
      </c>
      <c r="AA316" s="8">
        <v>0</v>
      </c>
      <c r="AB316" s="8">
        <v>0</v>
      </c>
      <c r="AC316" s="8">
        <v>0</v>
      </c>
      <c r="AD316" s="8">
        <v>0</v>
      </c>
    </row>
    <row r="317" spans="1:30" ht="25" hidden="1" x14ac:dyDescent="0.25">
      <c r="A317" s="6">
        <v>1275</v>
      </c>
      <c r="B317" s="7" t="s">
        <v>101</v>
      </c>
      <c r="C317" s="7" t="s">
        <v>373</v>
      </c>
      <c r="D317" s="8">
        <v>0.10625</v>
      </c>
      <c r="E317" s="7" t="s">
        <v>398</v>
      </c>
      <c r="F317" s="7" t="str">
        <f t="shared" si="4"/>
        <v>Wk1</v>
      </c>
      <c r="G317" s="8">
        <v>0</v>
      </c>
      <c r="H317" s="8">
        <v>0</v>
      </c>
      <c r="I317" s="8">
        <v>0</v>
      </c>
      <c r="J317" s="8">
        <v>0</v>
      </c>
      <c r="K317" s="8">
        <v>0</v>
      </c>
      <c r="L317" s="8">
        <v>0</v>
      </c>
      <c r="M317" s="8">
        <v>0</v>
      </c>
      <c r="N317" s="8">
        <v>0.25</v>
      </c>
      <c r="O317" s="8">
        <v>0.5</v>
      </c>
      <c r="P317" s="8">
        <v>1</v>
      </c>
      <c r="Q317" s="8">
        <v>1</v>
      </c>
      <c r="R317" s="8">
        <v>1</v>
      </c>
      <c r="S317" s="8">
        <v>0.75</v>
      </c>
      <c r="T317" s="8">
        <v>0.75</v>
      </c>
      <c r="U317" s="8">
        <v>1</v>
      </c>
      <c r="V317" s="8">
        <v>1</v>
      </c>
      <c r="W317" s="8">
        <v>1</v>
      </c>
      <c r="X317" s="8">
        <v>0.5</v>
      </c>
      <c r="Y317" s="8">
        <v>0.25</v>
      </c>
      <c r="Z317" s="8">
        <v>0</v>
      </c>
      <c r="AA317" s="8">
        <v>0</v>
      </c>
      <c r="AB317" s="8">
        <v>0</v>
      </c>
      <c r="AC317" s="8">
        <v>0</v>
      </c>
      <c r="AD317" s="8">
        <v>0</v>
      </c>
    </row>
    <row r="318" spans="1:30" ht="25" hidden="1" x14ac:dyDescent="0.25">
      <c r="A318" s="8">
        <v>1275</v>
      </c>
      <c r="B318" s="7" t="s">
        <v>101</v>
      </c>
      <c r="C318" s="7" t="s">
        <v>373</v>
      </c>
      <c r="D318" s="8">
        <v>0.10625</v>
      </c>
      <c r="E318" s="7" t="s">
        <v>399</v>
      </c>
      <c r="F318" s="7" t="str">
        <f t="shared" si="4"/>
        <v>Wk2</v>
      </c>
      <c r="G318" s="8">
        <v>0</v>
      </c>
      <c r="H318" s="8">
        <v>0</v>
      </c>
      <c r="I318" s="8">
        <v>0</v>
      </c>
      <c r="J318" s="8">
        <v>0</v>
      </c>
      <c r="K318" s="8">
        <v>0</v>
      </c>
      <c r="L318" s="8">
        <v>0</v>
      </c>
      <c r="M318" s="8">
        <v>0</v>
      </c>
      <c r="N318" s="8">
        <v>0</v>
      </c>
      <c r="O318" s="8">
        <v>0</v>
      </c>
      <c r="P318" s="8">
        <v>0.5</v>
      </c>
      <c r="Q318" s="8">
        <v>1</v>
      </c>
      <c r="R318" s="8">
        <v>1</v>
      </c>
      <c r="S318" s="8">
        <v>1</v>
      </c>
      <c r="T318" s="8">
        <v>0.75</v>
      </c>
      <c r="U318" s="8">
        <v>1</v>
      </c>
      <c r="V318" s="8">
        <v>0.75</v>
      </c>
      <c r="W318" s="8">
        <v>0</v>
      </c>
      <c r="X318" s="8">
        <v>0</v>
      </c>
      <c r="Y318" s="8">
        <v>0</v>
      </c>
      <c r="Z318" s="8">
        <v>0</v>
      </c>
      <c r="AA318" s="8">
        <v>0</v>
      </c>
      <c r="AB318" s="8">
        <v>0</v>
      </c>
      <c r="AC318" s="8">
        <v>0</v>
      </c>
      <c r="AD318" s="8">
        <v>0</v>
      </c>
    </row>
    <row r="319" spans="1:30" ht="37.5" hidden="1" x14ac:dyDescent="0.25">
      <c r="A319" s="6">
        <v>1276</v>
      </c>
      <c r="B319" s="7" t="s">
        <v>61</v>
      </c>
      <c r="C319" s="7" t="s">
        <v>373</v>
      </c>
      <c r="D319" s="8">
        <v>0.10521739130434783</v>
      </c>
      <c r="E319" s="7" t="s">
        <v>400</v>
      </c>
      <c r="F319" s="7" t="str">
        <f t="shared" si="4"/>
        <v>Wk1</v>
      </c>
      <c r="G319" s="8">
        <v>0</v>
      </c>
      <c r="H319" s="8">
        <v>0</v>
      </c>
      <c r="I319" s="8">
        <v>0</v>
      </c>
      <c r="J319" s="8">
        <v>0</v>
      </c>
      <c r="K319" s="8">
        <v>0</v>
      </c>
      <c r="L319" s="8">
        <v>0</v>
      </c>
      <c r="M319" s="8">
        <v>0</v>
      </c>
      <c r="N319" s="8">
        <v>0</v>
      </c>
      <c r="O319" s="8">
        <v>0</v>
      </c>
      <c r="P319" s="8">
        <v>0.5</v>
      </c>
      <c r="Q319" s="8">
        <v>1</v>
      </c>
      <c r="R319" s="8">
        <v>1</v>
      </c>
      <c r="S319" s="8">
        <v>1</v>
      </c>
      <c r="T319" s="8">
        <v>0.75</v>
      </c>
      <c r="U319" s="8">
        <v>1</v>
      </c>
      <c r="V319" s="8">
        <v>0.75</v>
      </c>
      <c r="W319" s="8">
        <v>0</v>
      </c>
      <c r="X319" s="8">
        <v>0</v>
      </c>
      <c r="Y319" s="8">
        <v>0</v>
      </c>
      <c r="Z319" s="8">
        <v>0</v>
      </c>
      <c r="AA319" s="8">
        <v>0</v>
      </c>
      <c r="AB319" s="8">
        <v>0</v>
      </c>
      <c r="AC319" s="8">
        <v>0</v>
      </c>
      <c r="AD319" s="8">
        <v>0</v>
      </c>
    </row>
    <row r="320" spans="1:30" ht="37.5" hidden="1" x14ac:dyDescent="0.25">
      <c r="A320" s="6">
        <v>1277</v>
      </c>
      <c r="B320" s="7" t="s">
        <v>47</v>
      </c>
      <c r="C320" s="7" t="s">
        <v>373</v>
      </c>
      <c r="D320" s="8">
        <v>0.11</v>
      </c>
      <c r="E320" s="7" t="s">
        <v>401</v>
      </c>
      <c r="F320" s="7" t="str">
        <f t="shared" si="4"/>
        <v>Wk1</v>
      </c>
      <c r="G320" s="8">
        <v>0</v>
      </c>
      <c r="H320" s="8">
        <v>0</v>
      </c>
      <c r="I320" s="8">
        <v>0</v>
      </c>
      <c r="J320" s="8">
        <v>0</v>
      </c>
      <c r="K320" s="8">
        <v>0</v>
      </c>
      <c r="L320" s="8">
        <v>0</v>
      </c>
      <c r="M320" s="8">
        <v>0</v>
      </c>
      <c r="N320" s="8">
        <v>0</v>
      </c>
      <c r="O320" s="8">
        <v>0</v>
      </c>
      <c r="P320" s="8">
        <v>0</v>
      </c>
      <c r="Q320" s="8">
        <v>0</v>
      </c>
      <c r="R320" s="8">
        <v>0</v>
      </c>
      <c r="S320" s="8">
        <v>0</v>
      </c>
      <c r="T320" s="8">
        <v>0</v>
      </c>
      <c r="U320" s="8">
        <v>0</v>
      </c>
      <c r="V320" s="8">
        <v>0</v>
      </c>
      <c r="W320" s="8">
        <v>0</v>
      </c>
      <c r="X320" s="8">
        <v>0</v>
      </c>
      <c r="Y320" s="8">
        <v>0</v>
      </c>
      <c r="Z320" s="8">
        <v>0</v>
      </c>
      <c r="AA320" s="8">
        <v>0</v>
      </c>
      <c r="AB320" s="8">
        <v>0</v>
      </c>
      <c r="AC320" s="8">
        <v>0</v>
      </c>
      <c r="AD320" s="8">
        <v>0</v>
      </c>
    </row>
    <row r="321" spans="1:30" ht="37.5" hidden="1" x14ac:dyDescent="0.25">
      <c r="A321" s="8">
        <v>1277</v>
      </c>
      <c r="B321" s="7" t="s">
        <v>47</v>
      </c>
      <c r="C321" s="7" t="s">
        <v>373</v>
      </c>
      <c r="D321" s="8">
        <v>0.11</v>
      </c>
      <c r="E321" s="7" t="s">
        <v>402</v>
      </c>
      <c r="F321" s="7" t="str">
        <f t="shared" si="4"/>
        <v>Wk2</v>
      </c>
      <c r="G321" s="8">
        <v>0</v>
      </c>
      <c r="H321" s="8">
        <v>0</v>
      </c>
      <c r="I321" s="8">
        <v>0</v>
      </c>
      <c r="J321" s="8">
        <v>0</v>
      </c>
      <c r="K321" s="8">
        <v>0</v>
      </c>
      <c r="L321" s="8">
        <v>0</v>
      </c>
      <c r="M321" s="8">
        <v>0</v>
      </c>
      <c r="N321" s="8">
        <v>0</v>
      </c>
      <c r="O321" s="8">
        <v>0</v>
      </c>
      <c r="P321" s="8">
        <v>0</v>
      </c>
      <c r="Q321" s="8">
        <v>0</v>
      </c>
      <c r="R321" s="8">
        <v>0</v>
      </c>
      <c r="S321" s="8">
        <v>0</v>
      </c>
      <c r="T321" s="8">
        <v>0</v>
      </c>
      <c r="U321" s="8">
        <v>0</v>
      </c>
      <c r="V321" s="8">
        <v>0</v>
      </c>
      <c r="W321" s="8">
        <v>0</v>
      </c>
      <c r="X321" s="8">
        <v>0</v>
      </c>
      <c r="Y321" s="8">
        <v>0</v>
      </c>
      <c r="Z321" s="8">
        <v>0</v>
      </c>
      <c r="AA321" s="8">
        <v>0</v>
      </c>
      <c r="AB321" s="8">
        <v>0</v>
      </c>
      <c r="AC321" s="8">
        <v>0</v>
      </c>
      <c r="AD321" s="8">
        <v>0</v>
      </c>
    </row>
    <row r="322" spans="1:30" ht="37.5" hidden="1" x14ac:dyDescent="0.25">
      <c r="A322" s="6">
        <v>1278</v>
      </c>
      <c r="B322" s="7" t="s">
        <v>45</v>
      </c>
      <c r="C322" s="7" t="s">
        <v>373</v>
      </c>
      <c r="D322" s="8">
        <v>0.11220000000000002</v>
      </c>
      <c r="E322" s="7" t="s">
        <v>403</v>
      </c>
      <c r="F322" s="7" t="str">
        <f t="shared" si="4"/>
        <v>Wk1</v>
      </c>
      <c r="G322" s="8">
        <v>0</v>
      </c>
      <c r="H322" s="8">
        <v>0</v>
      </c>
      <c r="I322" s="8">
        <v>0</v>
      </c>
      <c r="J322" s="8">
        <v>0</v>
      </c>
      <c r="K322" s="8">
        <v>0</v>
      </c>
      <c r="L322" s="8">
        <v>0</v>
      </c>
      <c r="M322" s="8">
        <v>0</v>
      </c>
      <c r="N322" s="8">
        <v>0</v>
      </c>
      <c r="O322" s="8">
        <v>1</v>
      </c>
      <c r="P322" s="8">
        <v>1</v>
      </c>
      <c r="Q322" s="8">
        <v>1</v>
      </c>
      <c r="R322" s="8">
        <v>1</v>
      </c>
      <c r="S322" s="8">
        <v>1</v>
      </c>
      <c r="T322" s="8">
        <v>1</v>
      </c>
      <c r="U322" s="8">
        <v>1</v>
      </c>
      <c r="V322" s="8">
        <v>1</v>
      </c>
      <c r="W322" s="8">
        <v>1</v>
      </c>
      <c r="X322" s="8">
        <v>1</v>
      </c>
      <c r="Y322" s="8">
        <v>0</v>
      </c>
      <c r="Z322" s="8">
        <v>0</v>
      </c>
      <c r="AA322" s="8">
        <v>0</v>
      </c>
      <c r="AB322" s="8">
        <v>0</v>
      </c>
      <c r="AC322" s="8">
        <v>0</v>
      </c>
      <c r="AD322" s="8">
        <v>0</v>
      </c>
    </row>
    <row r="323" spans="1:30" ht="37.5" hidden="1" x14ac:dyDescent="0.25">
      <c r="A323" s="8">
        <v>1278</v>
      </c>
      <c r="B323" s="7" t="s">
        <v>45</v>
      </c>
      <c r="C323" s="7" t="s">
        <v>373</v>
      </c>
      <c r="D323" s="8">
        <v>0.11220000000000002</v>
      </c>
      <c r="E323" s="7" t="s">
        <v>404</v>
      </c>
      <c r="F323" s="7" t="str">
        <f t="shared" si="4"/>
        <v>Wk2</v>
      </c>
      <c r="G323" s="8">
        <v>0</v>
      </c>
      <c r="H323" s="8">
        <v>0</v>
      </c>
      <c r="I323" s="8">
        <v>0</v>
      </c>
      <c r="J323" s="8">
        <v>0</v>
      </c>
      <c r="K323" s="8">
        <v>0</v>
      </c>
      <c r="L323" s="8">
        <v>0</v>
      </c>
      <c r="M323" s="8">
        <v>0</v>
      </c>
      <c r="N323" s="8">
        <v>0</v>
      </c>
      <c r="O323" s="8">
        <v>0</v>
      </c>
      <c r="P323" s="8">
        <v>0</v>
      </c>
      <c r="Q323" s="8">
        <v>0</v>
      </c>
      <c r="R323" s="8">
        <v>0</v>
      </c>
      <c r="S323" s="8">
        <v>0</v>
      </c>
      <c r="T323" s="8">
        <v>0</v>
      </c>
      <c r="U323" s="8">
        <v>0</v>
      </c>
      <c r="V323" s="8">
        <v>0</v>
      </c>
      <c r="W323" s="8">
        <v>0</v>
      </c>
      <c r="X323" s="8">
        <v>0</v>
      </c>
      <c r="Y323" s="8">
        <v>0</v>
      </c>
      <c r="Z323" s="8">
        <v>0</v>
      </c>
      <c r="AA323" s="8">
        <v>0</v>
      </c>
      <c r="AB323" s="8">
        <v>0</v>
      </c>
      <c r="AC323" s="8">
        <v>0</v>
      </c>
      <c r="AD323" s="8">
        <v>0</v>
      </c>
    </row>
    <row r="324" spans="1:30" ht="37.5" hidden="1" x14ac:dyDescent="0.25">
      <c r="A324" s="6">
        <v>1279</v>
      </c>
      <c r="B324" s="7" t="s">
        <v>38</v>
      </c>
      <c r="C324" s="7" t="s">
        <v>373</v>
      </c>
      <c r="D324" s="8">
        <v>0.10153846153846158</v>
      </c>
      <c r="E324" s="7" t="s">
        <v>405</v>
      </c>
      <c r="F324" s="7" t="str">
        <f t="shared" si="4"/>
        <v>Wk1</v>
      </c>
      <c r="G324" s="8">
        <v>0</v>
      </c>
      <c r="H324" s="8">
        <v>0</v>
      </c>
      <c r="I324" s="8">
        <v>0</v>
      </c>
      <c r="J324" s="8">
        <v>0</v>
      </c>
      <c r="K324" s="8">
        <v>0</v>
      </c>
      <c r="L324" s="8">
        <v>0</v>
      </c>
      <c r="M324" s="8">
        <v>0</v>
      </c>
      <c r="N324" s="8">
        <v>1</v>
      </c>
      <c r="O324" s="8">
        <v>1</v>
      </c>
      <c r="P324" s="8">
        <v>1</v>
      </c>
      <c r="Q324" s="8">
        <v>1</v>
      </c>
      <c r="R324" s="8">
        <v>1</v>
      </c>
      <c r="S324" s="8">
        <v>1</v>
      </c>
      <c r="T324" s="8">
        <v>1</v>
      </c>
      <c r="U324" s="8">
        <v>1</v>
      </c>
      <c r="V324" s="8">
        <v>1</v>
      </c>
      <c r="W324" s="8">
        <v>1</v>
      </c>
      <c r="X324" s="8">
        <v>1</v>
      </c>
      <c r="Y324" s="8">
        <v>1</v>
      </c>
      <c r="Z324" s="8">
        <v>1</v>
      </c>
      <c r="AA324" s="8">
        <v>0</v>
      </c>
      <c r="AB324" s="8">
        <v>0</v>
      </c>
      <c r="AC324" s="8">
        <v>0</v>
      </c>
      <c r="AD324" s="8">
        <v>0</v>
      </c>
    </row>
    <row r="325" spans="1:30" ht="37.5" hidden="1" x14ac:dyDescent="0.25">
      <c r="A325" s="8">
        <v>1279</v>
      </c>
      <c r="B325" s="7" t="s">
        <v>38</v>
      </c>
      <c r="C325" s="7" t="s">
        <v>373</v>
      </c>
      <c r="D325" s="8">
        <v>0.10153846153846158</v>
      </c>
      <c r="E325" s="7" t="s">
        <v>406</v>
      </c>
      <c r="F325" s="7" t="str">
        <f t="shared" si="4"/>
        <v>Wk2</v>
      </c>
      <c r="G325" s="8">
        <v>0</v>
      </c>
      <c r="H325" s="8">
        <v>0</v>
      </c>
      <c r="I325" s="8">
        <v>0</v>
      </c>
      <c r="J325" s="8">
        <v>0</v>
      </c>
      <c r="K325" s="8">
        <v>0</v>
      </c>
      <c r="L325" s="8">
        <v>0</v>
      </c>
      <c r="M325" s="8">
        <v>0</v>
      </c>
      <c r="N325" s="8">
        <v>0</v>
      </c>
      <c r="O325" s="8">
        <v>0</v>
      </c>
      <c r="P325" s="8">
        <v>0</v>
      </c>
      <c r="Q325" s="8">
        <v>0</v>
      </c>
      <c r="R325" s="8">
        <v>0</v>
      </c>
      <c r="S325" s="8">
        <v>0</v>
      </c>
      <c r="T325" s="8">
        <v>0</v>
      </c>
      <c r="U325" s="8">
        <v>0</v>
      </c>
      <c r="V325" s="8">
        <v>0</v>
      </c>
      <c r="W325" s="8">
        <v>0</v>
      </c>
      <c r="X325" s="8">
        <v>0</v>
      </c>
      <c r="Y325" s="8">
        <v>0</v>
      </c>
      <c r="Z325" s="8">
        <v>0</v>
      </c>
      <c r="AA325" s="8">
        <v>0</v>
      </c>
      <c r="AB325" s="8">
        <v>0</v>
      </c>
      <c r="AC325" s="8">
        <v>0</v>
      </c>
      <c r="AD325" s="8">
        <v>0</v>
      </c>
    </row>
    <row r="326" spans="1:30" ht="37.5" hidden="1" x14ac:dyDescent="0.25">
      <c r="A326" s="6">
        <v>1280</v>
      </c>
      <c r="B326" s="7" t="s">
        <v>78</v>
      </c>
      <c r="C326" s="7" t="s">
        <v>373</v>
      </c>
      <c r="D326" s="8">
        <v>0.18066479401449434</v>
      </c>
      <c r="E326" s="7" t="s">
        <v>407</v>
      </c>
      <c r="F326" s="7" t="str">
        <f t="shared" si="4"/>
        <v>Wk1</v>
      </c>
      <c r="G326" s="8">
        <v>0</v>
      </c>
      <c r="H326" s="8">
        <v>0</v>
      </c>
      <c r="I326" s="8">
        <v>0</v>
      </c>
      <c r="J326" s="8">
        <v>0</v>
      </c>
      <c r="K326" s="8">
        <v>0</v>
      </c>
      <c r="L326" s="8">
        <v>0</v>
      </c>
      <c r="M326" s="8">
        <v>0</v>
      </c>
      <c r="N326" s="8">
        <v>0.25</v>
      </c>
      <c r="O326" s="8">
        <v>0.5</v>
      </c>
      <c r="P326" s="8">
        <v>1</v>
      </c>
      <c r="Q326" s="8">
        <v>1</v>
      </c>
      <c r="R326" s="8">
        <v>1</v>
      </c>
      <c r="S326" s="8">
        <v>0.75</v>
      </c>
      <c r="T326" s="8">
        <v>0.75</v>
      </c>
      <c r="U326" s="8">
        <v>1</v>
      </c>
      <c r="V326" s="8">
        <v>1</v>
      </c>
      <c r="W326" s="8">
        <v>1</v>
      </c>
      <c r="X326" s="8">
        <v>0.5</v>
      </c>
      <c r="Y326" s="8">
        <v>0.25</v>
      </c>
      <c r="Z326" s="8">
        <v>0</v>
      </c>
      <c r="AA326" s="8">
        <v>0</v>
      </c>
      <c r="AB326" s="8">
        <v>0</v>
      </c>
      <c r="AC326" s="8">
        <v>0</v>
      </c>
      <c r="AD326" s="8">
        <v>0</v>
      </c>
    </row>
    <row r="327" spans="1:30" ht="37.5" hidden="1" x14ac:dyDescent="0.25">
      <c r="A327" s="8">
        <v>1280</v>
      </c>
      <c r="B327" s="7" t="s">
        <v>78</v>
      </c>
      <c r="C327" s="7" t="s">
        <v>373</v>
      </c>
      <c r="D327" s="8">
        <v>0.18066479401449434</v>
      </c>
      <c r="E327" s="7" t="s">
        <v>408</v>
      </c>
      <c r="F327" s="7" t="str">
        <f t="shared" si="4"/>
        <v>Wk2</v>
      </c>
      <c r="G327" s="8">
        <v>0</v>
      </c>
      <c r="H327" s="8">
        <v>0</v>
      </c>
      <c r="I327" s="8">
        <v>0</v>
      </c>
      <c r="J327" s="8">
        <v>0</v>
      </c>
      <c r="K327" s="8">
        <v>0</v>
      </c>
      <c r="L327" s="8">
        <v>0</v>
      </c>
      <c r="M327" s="8">
        <v>0</v>
      </c>
      <c r="N327" s="8">
        <v>0</v>
      </c>
      <c r="O327" s="8">
        <v>0</v>
      </c>
      <c r="P327" s="8">
        <v>0.75</v>
      </c>
      <c r="Q327" s="8">
        <v>1</v>
      </c>
      <c r="R327" s="8">
        <v>1</v>
      </c>
      <c r="S327" s="8">
        <v>0.75</v>
      </c>
      <c r="T327" s="8">
        <v>0.75</v>
      </c>
      <c r="U327" s="8">
        <v>1</v>
      </c>
      <c r="V327" s="8">
        <v>1</v>
      </c>
      <c r="W327" s="8">
        <v>1</v>
      </c>
      <c r="X327" s="8">
        <v>0.75</v>
      </c>
      <c r="Y327" s="8">
        <v>0</v>
      </c>
      <c r="Z327" s="8">
        <v>0</v>
      </c>
      <c r="AA327" s="8">
        <v>0</v>
      </c>
      <c r="AB327" s="8">
        <v>0</v>
      </c>
      <c r="AC327" s="8">
        <v>0</v>
      </c>
      <c r="AD327" s="8">
        <v>0</v>
      </c>
    </row>
    <row r="328" spans="1:30" ht="25" hidden="1" x14ac:dyDescent="0.25">
      <c r="A328" s="6">
        <v>1281</v>
      </c>
      <c r="B328" s="7" t="s">
        <v>409</v>
      </c>
      <c r="C328" s="7" t="s">
        <v>373</v>
      </c>
      <c r="D328" s="8">
        <v>0.11220000000000002</v>
      </c>
      <c r="E328" s="7" t="s">
        <v>410</v>
      </c>
      <c r="F328" s="7" t="str">
        <f t="shared" si="4"/>
        <v>Wk1</v>
      </c>
      <c r="G328" s="8">
        <v>0</v>
      </c>
      <c r="H328" s="8">
        <v>0</v>
      </c>
      <c r="I328" s="8">
        <v>0</v>
      </c>
      <c r="J328" s="8">
        <v>0</v>
      </c>
      <c r="K328" s="8">
        <v>0</v>
      </c>
      <c r="L328" s="8">
        <v>0</v>
      </c>
      <c r="M328" s="8">
        <v>0</v>
      </c>
      <c r="N328" s="8">
        <v>0</v>
      </c>
      <c r="O328" s="8">
        <v>1</v>
      </c>
      <c r="P328" s="8">
        <v>1</v>
      </c>
      <c r="Q328" s="8">
        <v>1</v>
      </c>
      <c r="R328" s="8">
        <v>1</v>
      </c>
      <c r="S328" s="8">
        <v>1</v>
      </c>
      <c r="T328" s="8">
        <v>1</v>
      </c>
      <c r="U328" s="8">
        <v>1</v>
      </c>
      <c r="V328" s="8">
        <v>1</v>
      </c>
      <c r="W328" s="8">
        <v>1</v>
      </c>
      <c r="X328" s="8">
        <v>1</v>
      </c>
      <c r="Y328" s="8">
        <v>0</v>
      </c>
      <c r="Z328" s="8">
        <v>0</v>
      </c>
      <c r="AA328" s="8">
        <v>0</v>
      </c>
      <c r="AB328" s="8">
        <v>0</v>
      </c>
      <c r="AC328" s="8">
        <v>0</v>
      </c>
      <c r="AD328" s="8">
        <v>0</v>
      </c>
    </row>
    <row r="329" spans="1:30" ht="25" hidden="1" x14ac:dyDescent="0.25">
      <c r="A329" s="8">
        <v>1281</v>
      </c>
      <c r="B329" s="7" t="s">
        <v>409</v>
      </c>
      <c r="C329" s="7" t="s">
        <v>373</v>
      </c>
      <c r="D329" s="8">
        <v>0.11220000000000002</v>
      </c>
      <c r="E329" s="7" t="s">
        <v>411</v>
      </c>
      <c r="F329" s="7" t="str">
        <f t="shared" si="4"/>
        <v>Wk2</v>
      </c>
      <c r="G329" s="8">
        <v>0</v>
      </c>
      <c r="H329" s="8">
        <v>0</v>
      </c>
      <c r="I329" s="8">
        <v>0</v>
      </c>
      <c r="J329" s="8">
        <v>0</v>
      </c>
      <c r="K329" s="8">
        <v>0</v>
      </c>
      <c r="L329" s="8">
        <v>0</v>
      </c>
      <c r="M329" s="8">
        <v>0</v>
      </c>
      <c r="N329" s="8">
        <v>0</v>
      </c>
      <c r="O329" s="8">
        <v>0</v>
      </c>
      <c r="P329" s="8">
        <v>0</v>
      </c>
      <c r="Q329" s="8">
        <v>0</v>
      </c>
      <c r="R329" s="8">
        <v>0</v>
      </c>
      <c r="S329" s="8">
        <v>0</v>
      </c>
      <c r="T329" s="8">
        <v>0</v>
      </c>
      <c r="U329" s="8">
        <v>0</v>
      </c>
      <c r="V329" s="8">
        <v>0</v>
      </c>
      <c r="W329" s="8">
        <v>0</v>
      </c>
      <c r="X329" s="8">
        <v>0</v>
      </c>
      <c r="Y329" s="8">
        <v>0</v>
      </c>
      <c r="Z329" s="8">
        <v>0</v>
      </c>
      <c r="AA329" s="8">
        <v>0</v>
      </c>
      <c r="AB329" s="8">
        <v>0</v>
      </c>
      <c r="AC329" s="8">
        <v>0</v>
      </c>
      <c r="AD329" s="8">
        <v>0</v>
      </c>
    </row>
    <row r="330" spans="1:30" ht="37.5" hidden="1" x14ac:dyDescent="0.25">
      <c r="A330" s="6">
        <v>1282</v>
      </c>
      <c r="B330" s="7" t="s">
        <v>43</v>
      </c>
      <c r="C330" s="7" t="s">
        <v>373</v>
      </c>
      <c r="D330" s="8">
        <v>0.10647435897435899</v>
      </c>
      <c r="E330" s="7" t="s">
        <v>412</v>
      </c>
      <c r="F330" s="7" t="str">
        <f t="shared" ref="F330:F359" si="5">RIGHT(E330,3)</f>
        <v>Wk1</v>
      </c>
      <c r="G330" s="8">
        <v>0</v>
      </c>
      <c r="H330" s="8">
        <v>0</v>
      </c>
      <c r="I330" s="8">
        <v>0</v>
      </c>
      <c r="J330" s="8">
        <v>0</v>
      </c>
      <c r="K330" s="8">
        <v>0</v>
      </c>
      <c r="L330" s="8">
        <v>0</v>
      </c>
      <c r="M330" s="8">
        <v>0</v>
      </c>
      <c r="N330" s="8">
        <v>0</v>
      </c>
      <c r="O330" s="8">
        <v>1</v>
      </c>
      <c r="P330" s="8">
        <v>1</v>
      </c>
      <c r="Q330" s="8">
        <v>1</v>
      </c>
      <c r="R330" s="8">
        <v>1</v>
      </c>
      <c r="S330" s="8">
        <v>1</v>
      </c>
      <c r="T330" s="8">
        <v>1</v>
      </c>
      <c r="U330" s="8">
        <v>1</v>
      </c>
      <c r="V330" s="8">
        <v>1</v>
      </c>
      <c r="W330" s="8">
        <v>1</v>
      </c>
      <c r="X330" s="8">
        <v>1</v>
      </c>
      <c r="Y330" s="8">
        <v>0</v>
      </c>
      <c r="Z330" s="8">
        <v>0</v>
      </c>
      <c r="AA330" s="8">
        <v>0</v>
      </c>
      <c r="AB330" s="8">
        <v>0</v>
      </c>
      <c r="AC330" s="8">
        <v>0</v>
      </c>
      <c r="AD330" s="8">
        <v>0</v>
      </c>
    </row>
    <row r="331" spans="1:30" ht="37.5" hidden="1" x14ac:dyDescent="0.25">
      <c r="A331" s="8">
        <v>1282</v>
      </c>
      <c r="B331" s="7" t="s">
        <v>43</v>
      </c>
      <c r="C331" s="7" t="s">
        <v>373</v>
      </c>
      <c r="D331" s="8">
        <v>0.10647435897435899</v>
      </c>
      <c r="E331" s="7" t="s">
        <v>413</v>
      </c>
      <c r="F331" s="7" t="str">
        <f t="shared" si="5"/>
        <v>Wk2</v>
      </c>
      <c r="G331" s="8">
        <v>0</v>
      </c>
      <c r="H331" s="8">
        <v>0</v>
      </c>
      <c r="I331" s="8">
        <v>0</v>
      </c>
      <c r="J331" s="8">
        <v>0</v>
      </c>
      <c r="K331" s="8">
        <v>0</v>
      </c>
      <c r="L331" s="8">
        <v>0</v>
      </c>
      <c r="M331" s="8">
        <v>0</v>
      </c>
      <c r="N331" s="8">
        <v>0</v>
      </c>
      <c r="O331" s="8">
        <v>0</v>
      </c>
      <c r="P331" s="8">
        <v>1</v>
      </c>
      <c r="Q331" s="8">
        <v>1</v>
      </c>
      <c r="R331" s="8">
        <v>1</v>
      </c>
      <c r="S331" s="8">
        <v>1</v>
      </c>
      <c r="T331" s="8">
        <v>1</v>
      </c>
      <c r="U331" s="8">
        <v>1</v>
      </c>
      <c r="V331" s="8">
        <v>1</v>
      </c>
      <c r="W331" s="8">
        <v>1</v>
      </c>
      <c r="X331" s="8">
        <v>0</v>
      </c>
      <c r="Y331" s="8">
        <v>0</v>
      </c>
      <c r="Z331" s="8">
        <v>0</v>
      </c>
      <c r="AA331" s="8">
        <v>0</v>
      </c>
      <c r="AB331" s="8">
        <v>0</v>
      </c>
      <c r="AC331" s="8">
        <v>0</v>
      </c>
      <c r="AD331" s="8">
        <v>0</v>
      </c>
    </row>
    <row r="332" spans="1:30" ht="37.5" hidden="1" x14ac:dyDescent="0.25">
      <c r="A332" s="6">
        <v>1283</v>
      </c>
      <c r="B332" s="7" t="s">
        <v>59</v>
      </c>
      <c r="C332" s="7" t="s">
        <v>373</v>
      </c>
      <c r="D332" s="8">
        <v>6.761363636363639E-2</v>
      </c>
      <c r="E332" s="7" t="s">
        <v>414</v>
      </c>
      <c r="F332" s="7" t="str">
        <f t="shared" si="5"/>
        <v>Wk1</v>
      </c>
      <c r="G332" s="8">
        <v>0</v>
      </c>
      <c r="H332" s="8">
        <v>0</v>
      </c>
      <c r="I332" s="8">
        <v>0</v>
      </c>
      <c r="J332" s="8">
        <v>0</v>
      </c>
      <c r="K332" s="8">
        <v>0</v>
      </c>
      <c r="L332" s="8">
        <v>0</v>
      </c>
      <c r="M332" s="8">
        <v>0</v>
      </c>
      <c r="N332" s="8">
        <v>0.25</v>
      </c>
      <c r="O332" s="8">
        <v>0.5</v>
      </c>
      <c r="P332" s="8">
        <v>1</v>
      </c>
      <c r="Q332" s="8">
        <v>1</v>
      </c>
      <c r="R332" s="8">
        <v>1</v>
      </c>
      <c r="S332" s="8">
        <v>0.75</v>
      </c>
      <c r="T332" s="8">
        <v>0.75</v>
      </c>
      <c r="U332" s="8">
        <v>1</v>
      </c>
      <c r="V332" s="8">
        <v>1</v>
      </c>
      <c r="W332" s="8">
        <v>1</v>
      </c>
      <c r="X332" s="8">
        <v>0.5</v>
      </c>
      <c r="Y332" s="8">
        <v>0.25</v>
      </c>
      <c r="Z332" s="8">
        <v>0</v>
      </c>
      <c r="AA332" s="8">
        <v>0</v>
      </c>
      <c r="AB332" s="8">
        <v>0</v>
      </c>
      <c r="AC332" s="8">
        <v>0</v>
      </c>
      <c r="AD332" s="8">
        <v>0</v>
      </c>
    </row>
    <row r="333" spans="1:30" ht="37.5" hidden="1" x14ac:dyDescent="0.25">
      <c r="A333" s="8">
        <v>1283</v>
      </c>
      <c r="B333" s="7" t="s">
        <v>59</v>
      </c>
      <c r="C333" s="7" t="s">
        <v>373</v>
      </c>
      <c r="D333" s="8">
        <v>6.761363636363639E-2</v>
      </c>
      <c r="E333" s="7" t="s">
        <v>415</v>
      </c>
      <c r="F333" s="7" t="str">
        <f t="shared" si="5"/>
        <v>Wk2</v>
      </c>
      <c r="G333" s="8">
        <v>0</v>
      </c>
      <c r="H333" s="8">
        <v>0</v>
      </c>
      <c r="I333" s="8">
        <v>0</v>
      </c>
      <c r="J333" s="8">
        <v>0</v>
      </c>
      <c r="K333" s="8">
        <v>0</v>
      </c>
      <c r="L333" s="8">
        <v>0</v>
      </c>
      <c r="M333" s="8">
        <v>0</v>
      </c>
      <c r="N333" s="8">
        <v>0</v>
      </c>
      <c r="O333" s="8">
        <v>0</v>
      </c>
      <c r="P333" s="8">
        <v>0.5</v>
      </c>
      <c r="Q333" s="8">
        <v>1</v>
      </c>
      <c r="R333" s="8">
        <v>1</v>
      </c>
      <c r="S333" s="8">
        <v>1</v>
      </c>
      <c r="T333" s="8">
        <v>0.75</v>
      </c>
      <c r="U333" s="8">
        <v>1</v>
      </c>
      <c r="V333" s="8">
        <v>0.75</v>
      </c>
      <c r="W333" s="8">
        <v>0</v>
      </c>
      <c r="X333" s="8">
        <v>0</v>
      </c>
      <c r="Y333" s="8">
        <v>0</v>
      </c>
      <c r="Z333" s="8">
        <v>0</v>
      </c>
      <c r="AA333" s="8">
        <v>0</v>
      </c>
      <c r="AB333" s="8">
        <v>0</v>
      </c>
      <c r="AC333" s="8">
        <v>0</v>
      </c>
      <c r="AD333" s="8">
        <v>0</v>
      </c>
    </row>
    <row r="334" spans="1:30" ht="37.5" hidden="1" x14ac:dyDescent="0.25">
      <c r="A334" s="6">
        <v>1284</v>
      </c>
      <c r="B334" s="7" t="s">
        <v>185</v>
      </c>
      <c r="C334" s="7" t="s">
        <v>373</v>
      </c>
      <c r="D334" s="8">
        <v>9.7886986301369883E-2</v>
      </c>
      <c r="E334" s="7" t="s">
        <v>416</v>
      </c>
      <c r="F334" s="7" t="str">
        <f t="shared" si="5"/>
        <v>Wk1</v>
      </c>
      <c r="G334" s="8">
        <v>0</v>
      </c>
      <c r="H334" s="8">
        <v>0</v>
      </c>
      <c r="I334" s="8">
        <v>0</v>
      </c>
      <c r="J334" s="8">
        <v>0</v>
      </c>
      <c r="K334" s="8">
        <v>0</v>
      </c>
      <c r="L334" s="8">
        <v>0</v>
      </c>
      <c r="M334" s="8">
        <v>0</v>
      </c>
      <c r="N334" s="8">
        <v>0.25</v>
      </c>
      <c r="O334" s="8">
        <v>0.5</v>
      </c>
      <c r="P334" s="8">
        <v>1</v>
      </c>
      <c r="Q334" s="8">
        <v>1</v>
      </c>
      <c r="R334" s="8">
        <v>1</v>
      </c>
      <c r="S334" s="8">
        <v>0.75</v>
      </c>
      <c r="T334" s="8">
        <v>0.75</v>
      </c>
      <c r="U334" s="8">
        <v>1</v>
      </c>
      <c r="V334" s="8">
        <v>1</v>
      </c>
      <c r="W334" s="8">
        <v>1</v>
      </c>
      <c r="X334" s="8">
        <v>0.5</v>
      </c>
      <c r="Y334" s="8">
        <v>0.25</v>
      </c>
      <c r="Z334" s="8">
        <v>0</v>
      </c>
      <c r="AA334" s="8">
        <v>0</v>
      </c>
      <c r="AB334" s="8">
        <v>0</v>
      </c>
      <c r="AC334" s="8">
        <v>0</v>
      </c>
      <c r="AD334" s="8">
        <v>0</v>
      </c>
    </row>
    <row r="335" spans="1:30" ht="37.5" hidden="1" x14ac:dyDescent="0.25">
      <c r="A335" s="8">
        <v>1284</v>
      </c>
      <c r="B335" s="7" t="s">
        <v>185</v>
      </c>
      <c r="C335" s="7" t="s">
        <v>373</v>
      </c>
      <c r="D335" s="8">
        <v>9.7886986301369883E-2</v>
      </c>
      <c r="E335" s="7" t="s">
        <v>417</v>
      </c>
      <c r="F335" s="7" t="str">
        <f t="shared" si="5"/>
        <v>Wk2</v>
      </c>
      <c r="G335" s="8">
        <v>0</v>
      </c>
      <c r="H335" s="8">
        <v>0</v>
      </c>
      <c r="I335" s="8">
        <v>0</v>
      </c>
      <c r="J335" s="8">
        <v>0</v>
      </c>
      <c r="K335" s="8">
        <v>0</v>
      </c>
      <c r="L335" s="8">
        <v>0</v>
      </c>
      <c r="M335" s="8">
        <v>0</v>
      </c>
      <c r="N335" s="8">
        <v>0</v>
      </c>
      <c r="O335" s="8">
        <v>0</v>
      </c>
      <c r="P335" s="8">
        <v>1</v>
      </c>
      <c r="Q335" s="8">
        <v>1</v>
      </c>
      <c r="R335" s="8">
        <v>1</v>
      </c>
      <c r="S335" s="8">
        <v>1</v>
      </c>
      <c r="T335" s="8">
        <v>1</v>
      </c>
      <c r="U335" s="8">
        <v>1</v>
      </c>
      <c r="V335" s="8">
        <v>1</v>
      </c>
      <c r="W335" s="8">
        <v>1</v>
      </c>
      <c r="X335" s="8">
        <v>0</v>
      </c>
      <c r="Y335" s="8">
        <v>0</v>
      </c>
      <c r="Z335" s="8">
        <v>0</v>
      </c>
      <c r="AA335" s="8">
        <v>0</v>
      </c>
      <c r="AB335" s="8">
        <v>0</v>
      </c>
      <c r="AC335" s="8">
        <v>0</v>
      </c>
      <c r="AD335" s="8">
        <v>0</v>
      </c>
    </row>
    <row r="336" spans="1:30" ht="37.5" hidden="1" x14ac:dyDescent="0.25">
      <c r="A336" s="6">
        <v>1285</v>
      </c>
      <c r="B336" s="7" t="s">
        <v>418</v>
      </c>
      <c r="C336" s="7" t="s">
        <v>62</v>
      </c>
      <c r="D336" s="8">
        <v>5.3124999999999999E-2</v>
      </c>
      <c r="E336" s="7" t="s">
        <v>126</v>
      </c>
      <c r="F336" s="7" t="str">
        <f t="shared" si="5"/>
        <v>Wk1</v>
      </c>
      <c r="G336" s="8">
        <v>0</v>
      </c>
      <c r="H336" s="8">
        <v>0</v>
      </c>
      <c r="I336" s="8">
        <v>0</v>
      </c>
      <c r="J336" s="8">
        <v>0</v>
      </c>
      <c r="K336" s="8">
        <v>0</v>
      </c>
      <c r="L336" s="8">
        <v>0</v>
      </c>
      <c r="M336" s="8">
        <v>0</v>
      </c>
      <c r="N336" s="8">
        <v>0</v>
      </c>
      <c r="O336" s="8">
        <v>0</v>
      </c>
      <c r="P336" s="8">
        <v>0.75</v>
      </c>
      <c r="Q336" s="8">
        <v>1</v>
      </c>
      <c r="R336" s="8">
        <v>1</v>
      </c>
      <c r="S336" s="8">
        <v>0.75</v>
      </c>
      <c r="T336" s="8">
        <v>0.75</v>
      </c>
      <c r="U336" s="8">
        <v>1</v>
      </c>
      <c r="V336" s="8">
        <v>1</v>
      </c>
      <c r="W336" s="8">
        <v>1</v>
      </c>
      <c r="X336" s="8">
        <v>0.75</v>
      </c>
      <c r="Y336" s="8">
        <v>0</v>
      </c>
      <c r="Z336" s="8">
        <v>0</v>
      </c>
      <c r="AA336" s="8">
        <v>0</v>
      </c>
      <c r="AB336" s="8">
        <v>0</v>
      </c>
      <c r="AC336" s="8">
        <v>0</v>
      </c>
      <c r="AD336" s="8">
        <v>0</v>
      </c>
    </row>
    <row r="337" spans="1:30" ht="37.5" hidden="1" x14ac:dyDescent="0.25">
      <c r="A337" s="6">
        <v>1286</v>
      </c>
      <c r="B337" s="7" t="s">
        <v>419</v>
      </c>
      <c r="C337" s="7" t="s">
        <v>62</v>
      </c>
      <c r="D337" s="8">
        <v>5.3124999999999999E-2</v>
      </c>
      <c r="E337" s="7" t="s">
        <v>128</v>
      </c>
      <c r="F337" s="7" t="str">
        <f t="shared" si="5"/>
        <v>Wk1</v>
      </c>
      <c r="G337" s="8">
        <v>0</v>
      </c>
      <c r="H337" s="8">
        <v>0</v>
      </c>
      <c r="I337" s="8">
        <v>0</v>
      </c>
      <c r="J337" s="8">
        <v>0</v>
      </c>
      <c r="K337" s="8">
        <v>0</v>
      </c>
      <c r="L337" s="8">
        <v>0</v>
      </c>
      <c r="M337" s="8">
        <v>0</v>
      </c>
      <c r="N337" s="8">
        <v>0</v>
      </c>
      <c r="O337" s="8">
        <v>0</v>
      </c>
      <c r="P337" s="8">
        <v>0.75</v>
      </c>
      <c r="Q337" s="8">
        <v>1</v>
      </c>
      <c r="R337" s="8">
        <v>1</v>
      </c>
      <c r="S337" s="8">
        <v>0.75</v>
      </c>
      <c r="T337" s="8">
        <v>0.75</v>
      </c>
      <c r="U337" s="8">
        <v>1</v>
      </c>
      <c r="V337" s="8">
        <v>1</v>
      </c>
      <c r="W337" s="8">
        <v>1</v>
      </c>
      <c r="X337" s="8">
        <v>0.75</v>
      </c>
      <c r="Y337" s="8">
        <v>0</v>
      </c>
      <c r="Z337" s="8">
        <v>0</v>
      </c>
      <c r="AA337" s="8">
        <v>0</v>
      </c>
      <c r="AB337" s="8">
        <v>0</v>
      </c>
      <c r="AC337" s="8">
        <v>0</v>
      </c>
      <c r="AD337" s="8">
        <v>0</v>
      </c>
    </row>
    <row r="338" spans="1:30" ht="37.5" hidden="1" x14ac:dyDescent="0.25">
      <c r="A338" s="6">
        <v>1287</v>
      </c>
      <c r="B338" s="7" t="s">
        <v>420</v>
      </c>
      <c r="C338" s="7" t="s">
        <v>62</v>
      </c>
      <c r="D338" s="8">
        <v>5.3124999999999999E-2</v>
      </c>
      <c r="E338" s="7" t="s">
        <v>130</v>
      </c>
      <c r="F338" s="7" t="str">
        <f t="shared" si="5"/>
        <v>Wk1</v>
      </c>
      <c r="G338" s="8">
        <v>0</v>
      </c>
      <c r="H338" s="8">
        <v>0</v>
      </c>
      <c r="I338" s="8">
        <v>0</v>
      </c>
      <c r="J338" s="8">
        <v>0</v>
      </c>
      <c r="K338" s="8">
        <v>0</v>
      </c>
      <c r="L338" s="8">
        <v>0</v>
      </c>
      <c r="M338" s="8">
        <v>0</v>
      </c>
      <c r="N338" s="8">
        <v>0</v>
      </c>
      <c r="O338" s="8">
        <v>0</v>
      </c>
      <c r="P338" s="8">
        <v>0.75</v>
      </c>
      <c r="Q338" s="8">
        <v>1</v>
      </c>
      <c r="R338" s="8">
        <v>1</v>
      </c>
      <c r="S338" s="8">
        <v>0.75</v>
      </c>
      <c r="T338" s="8">
        <v>0.75</v>
      </c>
      <c r="U338" s="8">
        <v>1</v>
      </c>
      <c r="V338" s="8">
        <v>1</v>
      </c>
      <c r="W338" s="8">
        <v>1</v>
      </c>
      <c r="X338" s="8">
        <v>0.75</v>
      </c>
      <c r="Y338" s="8">
        <v>0</v>
      </c>
      <c r="Z338" s="8">
        <v>0</v>
      </c>
      <c r="AA338" s="8">
        <v>0</v>
      </c>
      <c r="AB338" s="8">
        <v>0</v>
      </c>
      <c r="AC338" s="8">
        <v>0</v>
      </c>
      <c r="AD338" s="8">
        <v>0</v>
      </c>
    </row>
    <row r="339" spans="1:30" ht="37.5" hidden="1" x14ac:dyDescent="0.25">
      <c r="A339" s="6">
        <v>1288</v>
      </c>
      <c r="B339" s="7" t="s">
        <v>181</v>
      </c>
      <c r="C339" s="7" t="s">
        <v>65</v>
      </c>
      <c r="D339" s="8">
        <v>0.2589473684210527</v>
      </c>
      <c r="E339" s="7" t="s">
        <v>421</v>
      </c>
      <c r="F339" s="7" t="str">
        <f t="shared" si="5"/>
        <v>WK1</v>
      </c>
      <c r="G339" s="8">
        <v>0</v>
      </c>
      <c r="H339" s="8">
        <v>0</v>
      </c>
      <c r="I339" s="8">
        <v>0</v>
      </c>
      <c r="J339" s="8">
        <v>0</v>
      </c>
      <c r="K339" s="8">
        <v>0</v>
      </c>
      <c r="L339" s="8">
        <v>0</v>
      </c>
      <c r="M339" s="8">
        <v>0</v>
      </c>
      <c r="N339" s="8">
        <v>1</v>
      </c>
      <c r="O339" s="8">
        <v>1</v>
      </c>
      <c r="P339" s="8">
        <v>1</v>
      </c>
      <c r="Q339" s="8">
        <v>0</v>
      </c>
      <c r="R339" s="8">
        <v>0</v>
      </c>
      <c r="S339" s="8">
        <v>0</v>
      </c>
      <c r="T339" s="8">
        <v>0</v>
      </c>
      <c r="U339" s="8">
        <v>0</v>
      </c>
      <c r="V339" s="8">
        <v>0</v>
      </c>
      <c r="W339" s="8">
        <v>0</v>
      </c>
      <c r="X339" s="8">
        <v>0</v>
      </c>
      <c r="Y339" s="8">
        <v>0</v>
      </c>
      <c r="Z339" s="8">
        <v>0.2</v>
      </c>
      <c r="AA339" s="8">
        <v>0.2</v>
      </c>
      <c r="AB339" s="8">
        <v>0.2</v>
      </c>
      <c r="AC339" s="8">
        <v>0.2</v>
      </c>
      <c r="AD339" s="8">
        <v>0</v>
      </c>
    </row>
    <row r="340" spans="1:30" ht="50" hidden="1" x14ac:dyDescent="0.25">
      <c r="A340" s="6">
        <v>1289</v>
      </c>
      <c r="B340" s="7" t="s">
        <v>295</v>
      </c>
      <c r="C340" s="7" t="s">
        <v>151</v>
      </c>
      <c r="D340" s="8">
        <v>0.21249999999999999</v>
      </c>
      <c r="E340" s="7" t="s">
        <v>422</v>
      </c>
      <c r="F340" s="7" t="str">
        <f t="shared" si="5"/>
        <v>Wk1</v>
      </c>
      <c r="G340" s="8">
        <v>0</v>
      </c>
      <c r="H340" s="8">
        <v>0</v>
      </c>
      <c r="I340" s="8">
        <v>0</v>
      </c>
      <c r="J340" s="8">
        <v>0</v>
      </c>
      <c r="K340" s="8">
        <v>0</v>
      </c>
      <c r="L340" s="8">
        <v>0</v>
      </c>
      <c r="M340" s="8">
        <v>0</v>
      </c>
      <c r="N340" s="8">
        <v>0</v>
      </c>
      <c r="O340" s="8">
        <v>0</v>
      </c>
      <c r="P340" s="8">
        <v>0.75</v>
      </c>
      <c r="Q340" s="8">
        <v>1</v>
      </c>
      <c r="R340" s="8">
        <v>1</v>
      </c>
      <c r="S340" s="8">
        <v>0.75</v>
      </c>
      <c r="T340" s="8">
        <v>0.75</v>
      </c>
      <c r="U340" s="8">
        <v>1</v>
      </c>
      <c r="V340" s="8">
        <v>1</v>
      </c>
      <c r="W340" s="8">
        <v>1</v>
      </c>
      <c r="X340" s="8">
        <v>0.75</v>
      </c>
      <c r="Y340" s="8">
        <v>0</v>
      </c>
      <c r="Z340" s="8">
        <v>0</v>
      </c>
      <c r="AA340" s="8">
        <v>0</v>
      </c>
      <c r="AB340" s="8">
        <v>0</v>
      </c>
      <c r="AC340" s="8">
        <v>0</v>
      </c>
      <c r="AD340" s="8">
        <v>0</v>
      </c>
    </row>
    <row r="341" spans="1:30" ht="50" hidden="1" x14ac:dyDescent="0.25">
      <c r="A341" s="6">
        <v>1290</v>
      </c>
      <c r="B341" s="7" t="s">
        <v>41</v>
      </c>
      <c r="C341" s="7" t="s">
        <v>423</v>
      </c>
      <c r="D341" s="8">
        <v>5.856666666666667E-2</v>
      </c>
      <c r="E341" s="7" t="s">
        <v>424</v>
      </c>
      <c r="F341" s="7" t="str">
        <f t="shared" si="5"/>
        <v>WK1</v>
      </c>
      <c r="G341" s="8">
        <v>1.8782014999999999E-2</v>
      </c>
      <c r="H341" s="8">
        <v>1.8782014999999999E-2</v>
      </c>
      <c r="I341" s="8">
        <v>1.8782014999999999E-2</v>
      </c>
      <c r="J341" s="8">
        <v>1.8782014999999999E-2</v>
      </c>
      <c r="K341" s="8">
        <v>1.8782014999999999E-2</v>
      </c>
      <c r="L341" s="8">
        <v>1.8782014999999999E-2</v>
      </c>
      <c r="M341" s="8">
        <v>0.26408651100000002</v>
      </c>
      <c r="N341" s="8">
        <v>1</v>
      </c>
      <c r="O341" s="8">
        <v>1</v>
      </c>
      <c r="P341" s="8">
        <v>0.26408651100000002</v>
      </c>
      <c r="Q341" s="8">
        <v>1.8782014999999999E-2</v>
      </c>
      <c r="R341" s="8">
        <v>0.26408651100000002</v>
      </c>
      <c r="S341" s="8">
        <v>1</v>
      </c>
      <c r="T341" s="8">
        <v>1</v>
      </c>
      <c r="U341" s="8">
        <v>0.50939100699999995</v>
      </c>
      <c r="V341" s="8">
        <v>1.8782014999999999E-2</v>
      </c>
      <c r="W341" s="8">
        <v>1.8782014999999999E-2</v>
      </c>
      <c r="X341" s="8">
        <v>0.50939100699999995</v>
      </c>
      <c r="Y341" s="8">
        <v>1</v>
      </c>
      <c r="Z341" s="8">
        <v>1</v>
      </c>
      <c r="AA341" s="8">
        <v>0.50939100699999995</v>
      </c>
      <c r="AB341" s="8">
        <v>1.8782014999999999E-2</v>
      </c>
      <c r="AC341" s="8">
        <v>1.8782014999999999E-2</v>
      </c>
      <c r="AD341" s="8">
        <v>1.8782014999999999E-2</v>
      </c>
    </row>
    <row r="342" spans="1:30" ht="37.5" hidden="1" x14ac:dyDescent="0.25">
      <c r="A342" s="6">
        <v>1291</v>
      </c>
      <c r="B342" s="7" t="s">
        <v>47</v>
      </c>
      <c r="C342" s="7" t="s">
        <v>423</v>
      </c>
      <c r="D342" s="8">
        <v>0.11</v>
      </c>
      <c r="E342" s="7" t="s">
        <v>425</v>
      </c>
      <c r="F342" s="7" t="str">
        <f t="shared" si="5"/>
        <v>WK1</v>
      </c>
      <c r="G342" s="8">
        <v>0</v>
      </c>
      <c r="H342" s="8">
        <v>0</v>
      </c>
      <c r="I342" s="8">
        <v>0</v>
      </c>
      <c r="J342" s="8">
        <v>0</v>
      </c>
      <c r="K342" s="8">
        <v>0</v>
      </c>
      <c r="L342" s="8">
        <v>0</v>
      </c>
      <c r="M342" s="8">
        <v>0</v>
      </c>
      <c r="N342" s="8">
        <v>0</v>
      </c>
      <c r="O342" s="8">
        <v>0</v>
      </c>
      <c r="P342" s="8">
        <v>0</v>
      </c>
      <c r="Q342" s="8">
        <v>0</v>
      </c>
      <c r="R342" s="8">
        <v>0</v>
      </c>
      <c r="S342" s="8">
        <v>0</v>
      </c>
      <c r="T342" s="8">
        <v>0</v>
      </c>
      <c r="U342" s="8">
        <v>0</v>
      </c>
      <c r="V342" s="8">
        <v>0</v>
      </c>
      <c r="W342" s="8">
        <v>0</v>
      </c>
      <c r="X342" s="8">
        <v>0</v>
      </c>
      <c r="Y342" s="8">
        <v>0</v>
      </c>
      <c r="Z342" s="8">
        <v>0</v>
      </c>
      <c r="AA342" s="8">
        <v>0</v>
      </c>
      <c r="AB342" s="8">
        <v>0</v>
      </c>
      <c r="AC342" s="8">
        <v>0</v>
      </c>
      <c r="AD342" s="8">
        <v>0</v>
      </c>
    </row>
    <row r="343" spans="1:30" ht="37.5" hidden="1" x14ac:dyDescent="0.25">
      <c r="A343" s="6">
        <v>1292</v>
      </c>
      <c r="B343" s="7" t="s">
        <v>43</v>
      </c>
      <c r="C343" s="7" t="s">
        <v>423</v>
      </c>
      <c r="D343" s="8">
        <v>6.0500000000000026E-2</v>
      </c>
      <c r="E343" s="7" t="s">
        <v>426</v>
      </c>
      <c r="F343" s="7" t="str">
        <f t="shared" si="5"/>
        <v>WK1</v>
      </c>
      <c r="G343" s="8">
        <v>0</v>
      </c>
      <c r="H343" s="8">
        <v>0</v>
      </c>
      <c r="I343" s="8">
        <v>0</v>
      </c>
      <c r="J343" s="8">
        <v>0</v>
      </c>
      <c r="K343" s="8">
        <v>0</v>
      </c>
      <c r="L343" s="8">
        <v>0</v>
      </c>
      <c r="M343" s="8">
        <v>0</v>
      </c>
      <c r="N343" s="8">
        <v>0</v>
      </c>
      <c r="O343" s="8">
        <v>1</v>
      </c>
      <c r="P343" s="8">
        <v>1</v>
      </c>
      <c r="Q343" s="8">
        <v>1</v>
      </c>
      <c r="R343" s="8">
        <v>1</v>
      </c>
      <c r="S343" s="8">
        <v>1</v>
      </c>
      <c r="T343" s="8">
        <v>1</v>
      </c>
      <c r="U343" s="8">
        <v>1</v>
      </c>
      <c r="V343" s="8">
        <v>1</v>
      </c>
      <c r="W343" s="8">
        <v>1</v>
      </c>
      <c r="X343" s="8">
        <v>1</v>
      </c>
      <c r="Y343" s="8">
        <v>0</v>
      </c>
      <c r="Z343" s="8">
        <v>0</v>
      </c>
      <c r="AA343" s="8">
        <v>0</v>
      </c>
      <c r="AB343" s="8">
        <v>0</v>
      </c>
      <c r="AC343" s="8">
        <v>0</v>
      </c>
      <c r="AD343" s="8">
        <v>0</v>
      </c>
    </row>
    <row r="344" spans="1:30" ht="37.5" hidden="1" x14ac:dyDescent="0.25">
      <c r="A344" s="6">
        <v>1293</v>
      </c>
      <c r="B344" s="7" t="s">
        <v>427</v>
      </c>
      <c r="C344" s="7" t="s">
        <v>423</v>
      </c>
      <c r="D344" s="8">
        <v>5.3242424242424258E-3</v>
      </c>
      <c r="E344" s="7" t="s">
        <v>428</v>
      </c>
      <c r="F344" s="7" t="str">
        <f t="shared" si="5"/>
        <v>WK1</v>
      </c>
      <c r="G344" s="8">
        <v>1.8782014999999999E-2</v>
      </c>
      <c r="H344" s="8">
        <v>1.8782014999999999E-2</v>
      </c>
      <c r="I344" s="8">
        <v>1.8782014999999999E-2</v>
      </c>
      <c r="J344" s="8">
        <v>1.8782014999999999E-2</v>
      </c>
      <c r="K344" s="8">
        <v>1.8782014999999999E-2</v>
      </c>
      <c r="L344" s="8">
        <v>1.8782014999999999E-2</v>
      </c>
      <c r="M344" s="8">
        <v>0.26408651100000002</v>
      </c>
      <c r="N344" s="8">
        <v>1</v>
      </c>
      <c r="O344" s="8">
        <v>1</v>
      </c>
      <c r="P344" s="8">
        <v>0.26408651100000002</v>
      </c>
      <c r="Q344" s="8">
        <v>1.8782014999999999E-2</v>
      </c>
      <c r="R344" s="8">
        <v>0.26408651100000002</v>
      </c>
      <c r="S344" s="8">
        <v>1</v>
      </c>
      <c r="T344" s="8">
        <v>1</v>
      </c>
      <c r="U344" s="8">
        <v>0.50939100699999995</v>
      </c>
      <c r="V344" s="8">
        <v>1.8782014999999999E-2</v>
      </c>
      <c r="W344" s="8">
        <v>1.8782014999999999E-2</v>
      </c>
      <c r="X344" s="8">
        <v>0.50939100699999995</v>
      </c>
      <c r="Y344" s="8">
        <v>1</v>
      </c>
      <c r="Z344" s="8">
        <v>1</v>
      </c>
      <c r="AA344" s="8">
        <v>0.50939100699999995</v>
      </c>
      <c r="AB344" s="8">
        <v>1.8782014999999999E-2</v>
      </c>
      <c r="AC344" s="8">
        <v>1.8782014999999999E-2</v>
      </c>
      <c r="AD344" s="8">
        <v>1.8782014999999999E-2</v>
      </c>
    </row>
    <row r="345" spans="1:30" ht="37.5" hidden="1" x14ac:dyDescent="0.25">
      <c r="A345" s="6">
        <v>1294</v>
      </c>
      <c r="B345" s="7" t="s">
        <v>49</v>
      </c>
      <c r="C345" s="7" t="s">
        <v>423</v>
      </c>
      <c r="D345" s="8">
        <v>0.111</v>
      </c>
      <c r="E345" s="7" t="s">
        <v>429</v>
      </c>
      <c r="F345" s="7" t="str">
        <f t="shared" si="5"/>
        <v>WK1</v>
      </c>
      <c r="G345" s="8">
        <v>1</v>
      </c>
      <c r="H345" s="8">
        <v>1</v>
      </c>
      <c r="I345" s="8">
        <v>1</v>
      </c>
      <c r="J345" s="8">
        <v>1</v>
      </c>
      <c r="K345" s="8">
        <v>1</v>
      </c>
      <c r="L345" s="8">
        <v>1</v>
      </c>
      <c r="M345" s="8">
        <v>1</v>
      </c>
      <c r="N345" s="8">
        <v>1</v>
      </c>
      <c r="O345" s="8">
        <v>1</v>
      </c>
      <c r="P345" s="8">
        <v>1</v>
      </c>
      <c r="Q345" s="8">
        <v>1</v>
      </c>
      <c r="R345" s="8">
        <v>1</v>
      </c>
      <c r="S345" s="8">
        <v>1</v>
      </c>
      <c r="T345" s="8">
        <v>1</v>
      </c>
      <c r="U345" s="8">
        <v>1</v>
      </c>
      <c r="V345" s="8">
        <v>1</v>
      </c>
      <c r="W345" s="8">
        <v>1</v>
      </c>
      <c r="X345" s="8">
        <v>1</v>
      </c>
      <c r="Y345" s="8">
        <v>1</v>
      </c>
      <c r="Z345" s="8">
        <v>1</v>
      </c>
      <c r="AA345" s="8">
        <v>1</v>
      </c>
      <c r="AB345" s="8">
        <v>1</v>
      </c>
      <c r="AC345" s="8">
        <v>1</v>
      </c>
      <c r="AD345" s="8">
        <v>1</v>
      </c>
    </row>
    <row r="346" spans="1:30" ht="37.5" hidden="1" x14ac:dyDescent="0.25">
      <c r="A346" s="6">
        <v>1295</v>
      </c>
      <c r="B346" s="7" t="s">
        <v>427</v>
      </c>
      <c r="C346" s="7" t="s">
        <v>62</v>
      </c>
      <c r="D346" s="8">
        <v>4.299465240641712E-3</v>
      </c>
      <c r="E346" s="7" t="s">
        <v>430</v>
      </c>
      <c r="F346" s="7" t="str">
        <f t="shared" si="5"/>
        <v>WK1</v>
      </c>
      <c r="G346" s="8">
        <v>0</v>
      </c>
      <c r="H346" s="8">
        <v>0</v>
      </c>
      <c r="I346" s="8">
        <v>0</v>
      </c>
      <c r="J346" s="8">
        <v>0</v>
      </c>
      <c r="K346" s="8">
        <v>0</v>
      </c>
      <c r="L346" s="8">
        <v>0</v>
      </c>
      <c r="M346" s="8">
        <v>0</v>
      </c>
      <c r="N346" s="8">
        <v>0.25</v>
      </c>
      <c r="O346" s="8">
        <v>0.5</v>
      </c>
      <c r="P346" s="8">
        <v>1</v>
      </c>
      <c r="Q346" s="8">
        <v>1</v>
      </c>
      <c r="R346" s="8">
        <v>1</v>
      </c>
      <c r="S346" s="8">
        <v>0.75</v>
      </c>
      <c r="T346" s="8">
        <v>0.75</v>
      </c>
      <c r="U346" s="8">
        <v>1</v>
      </c>
      <c r="V346" s="8">
        <v>1</v>
      </c>
      <c r="W346" s="8">
        <v>1</v>
      </c>
      <c r="X346" s="8">
        <v>0.5</v>
      </c>
      <c r="Y346" s="8">
        <v>0.25</v>
      </c>
      <c r="Z346" s="8">
        <v>0</v>
      </c>
      <c r="AA346" s="8">
        <v>0</v>
      </c>
      <c r="AB346" s="8">
        <v>0</v>
      </c>
      <c r="AC346" s="8">
        <v>0</v>
      </c>
      <c r="AD346" s="8">
        <v>0</v>
      </c>
    </row>
    <row r="347" spans="1:30" ht="37.5" hidden="1" x14ac:dyDescent="0.25">
      <c r="A347" s="6">
        <v>1296</v>
      </c>
      <c r="B347" s="7" t="s">
        <v>427</v>
      </c>
      <c r="C347" s="7" t="s">
        <v>39</v>
      </c>
      <c r="D347" s="8">
        <v>5.8947368421052634E-3</v>
      </c>
      <c r="E347" s="7" t="s">
        <v>431</v>
      </c>
      <c r="F347" s="7" t="str">
        <f t="shared" si="5"/>
        <v>WK1</v>
      </c>
      <c r="G347" s="8">
        <v>0</v>
      </c>
      <c r="H347" s="8">
        <v>0</v>
      </c>
      <c r="I347" s="8">
        <v>0</v>
      </c>
      <c r="J347" s="8">
        <v>0</v>
      </c>
      <c r="K347" s="8">
        <v>0</v>
      </c>
      <c r="L347" s="8">
        <v>0</v>
      </c>
      <c r="M347" s="8">
        <v>0.25</v>
      </c>
      <c r="N347" s="8">
        <v>1</v>
      </c>
      <c r="O347" s="8">
        <v>1</v>
      </c>
      <c r="P347" s="8">
        <v>0</v>
      </c>
      <c r="Q347" s="8">
        <v>0</v>
      </c>
      <c r="R347" s="8">
        <v>0.25</v>
      </c>
      <c r="S347" s="8">
        <v>1</v>
      </c>
      <c r="T347" s="8">
        <v>1</v>
      </c>
      <c r="U347" s="8">
        <v>0.25</v>
      </c>
      <c r="V347" s="8">
        <v>0</v>
      </c>
      <c r="W347" s="8">
        <v>0</v>
      </c>
      <c r="X347" s="8">
        <v>0</v>
      </c>
      <c r="Y347" s="8">
        <v>0</v>
      </c>
      <c r="Z347" s="8">
        <v>0</v>
      </c>
      <c r="AA347" s="8">
        <v>0</v>
      </c>
      <c r="AB347" s="8">
        <v>0</v>
      </c>
      <c r="AC347" s="8">
        <v>0</v>
      </c>
      <c r="AD347" s="8">
        <v>0</v>
      </c>
    </row>
    <row r="348" spans="1:30" ht="37.5" hidden="1" x14ac:dyDescent="0.25">
      <c r="A348" s="6">
        <v>1297</v>
      </c>
      <c r="B348" s="7" t="s">
        <v>432</v>
      </c>
      <c r="C348" s="7" t="s">
        <v>62</v>
      </c>
      <c r="D348" s="8">
        <v>4.3312499999999997E-2</v>
      </c>
      <c r="E348" s="7" t="s">
        <v>433</v>
      </c>
      <c r="F348" s="7" t="str">
        <f t="shared" si="5"/>
        <v>Wk1</v>
      </c>
      <c r="G348" s="8">
        <v>0</v>
      </c>
      <c r="H348" s="8">
        <v>0</v>
      </c>
      <c r="I348" s="8">
        <v>0</v>
      </c>
      <c r="J348" s="8">
        <v>0</v>
      </c>
      <c r="K348" s="8">
        <v>0</v>
      </c>
      <c r="L348" s="8">
        <v>0</v>
      </c>
      <c r="M348" s="8">
        <v>0</v>
      </c>
      <c r="N348" s="8">
        <v>0</v>
      </c>
      <c r="O348" s="8">
        <v>0</v>
      </c>
      <c r="P348" s="8">
        <v>1</v>
      </c>
      <c r="Q348" s="8">
        <v>1</v>
      </c>
      <c r="R348" s="8">
        <v>1</v>
      </c>
      <c r="S348" s="8">
        <v>1</v>
      </c>
      <c r="T348" s="8">
        <v>1</v>
      </c>
      <c r="U348" s="8">
        <v>1</v>
      </c>
      <c r="V348" s="8">
        <v>1</v>
      </c>
      <c r="W348" s="8">
        <v>1</v>
      </c>
      <c r="X348" s="8">
        <v>0</v>
      </c>
      <c r="Y348" s="8">
        <v>0</v>
      </c>
      <c r="Z348" s="8">
        <v>0</v>
      </c>
      <c r="AA348" s="8">
        <v>0</v>
      </c>
      <c r="AB348" s="8">
        <v>0</v>
      </c>
      <c r="AC348" s="8">
        <v>0</v>
      </c>
      <c r="AD348" s="8">
        <v>0</v>
      </c>
    </row>
    <row r="349" spans="1:30" ht="50" hidden="1" x14ac:dyDescent="0.25">
      <c r="A349" s="6">
        <v>1298</v>
      </c>
      <c r="B349" s="7" t="s">
        <v>434</v>
      </c>
      <c r="C349" s="7" t="s">
        <v>278</v>
      </c>
      <c r="D349" s="8">
        <v>1.2375000000000001E-3</v>
      </c>
      <c r="E349" s="7" t="s">
        <v>435</v>
      </c>
      <c r="F349" s="7" t="str">
        <f t="shared" si="5"/>
        <v>WK1</v>
      </c>
      <c r="G349" s="8">
        <v>0</v>
      </c>
      <c r="H349" s="8">
        <v>0</v>
      </c>
      <c r="I349" s="8">
        <v>0</v>
      </c>
      <c r="J349" s="8">
        <v>0</v>
      </c>
      <c r="K349" s="8">
        <v>0</v>
      </c>
      <c r="L349" s="8">
        <v>0</v>
      </c>
      <c r="M349" s="8">
        <v>0</v>
      </c>
      <c r="N349" s="8">
        <v>0</v>
      </c>
      <c r="O349" s="8">
        <v>0</v>
      </c>
      <c r="P349" s="8">
        <v>0.75</v>
      </c>
      <c r="Q349" s="8">
        <v>1</v>
      </c>
      <c r="R349" s="8">
        <v>1</v>
      </c>
      <c r="S349" s="8">
        <v>0.75</v>
      </c>
      <c r="T349" s="8">
        <v>0.75</v>
      </c>
      <c r="U349" s="8">
        <v>1</v>
      </c>
      <c r="V349" s="8">
        <v>1</v>
      </c>
      <c r="W349" s="8">
        <v>1</v>
      </c>
      <c r="X349" s="8">
        <v>0.75</v>
      </c>
      <c r="Y349" s="8">
        <v>0</v>
      </c>
      <c r="Z349" s="8">
        <v>0</v>
      </c>
      <c r="AA349" s="8">
        <v>0</v>
      </c>
      <c r="AB349" s="8">
        <v>0</v>
      </c>
      <c r="AC349" s="8">
        <v>0</v>
      </c>
      <c r="AD349" s="8">
        <v>0</v>
      </c>
    </row>
    <row r="350" spans="1:30" ht="37.5" hidden="1" x14ac:dyDescent="0.25">
      <c r="A350" s="6">
        <v>1301</v>
      </c>
      <c r="B350" s="7" t="s">
        <v>53</v>
      </c>
      <c r="C350" s="7" t="s">
        <v>436</v>
      </c>
      <c r="D350" s="8">
        <v>0.12587301587250002</v>
      </c>
      <c r="E350" s="7" t="s">
        <v>279</v>
      </c>
      <c r="F350" s="7" t="str">
        <f t="shared" si="5"/>
        <v>WK1</v>
      </c>
      <c r="G350" s="8">
        <v>0</v>
      </c>
      <c r="H350" s="8">
        <v>0</v>
      </c>
      <c r="I350" s="8">
        <v>0</v>
      </c>
      <c r="J350" s="8">
        <v>0</v>
      </c>
      <c r="K350" s="8">
        <v>0</v>
      </c>
      <c r="L350" s="8">
        <v>0</v>
      </c>
      <c r="M350" s="8">
        <v>0</v>
      </c>
      <c r="N350" s="8">
        <v>0</v>
      </c>
      <c r="O350" s="8">
        <v>0</v>
      </c>
      <c r="P350" s="8">
        <v>1</v>
      </c>
      <c r="Q350" s="8">
        <v>1</v>
      </c>
      <c r="R350" s="8">
        <v>1</v>
      </c>
      <c r="S350" s="8">
        <v>1</v>
      </c>
      <c r="T350" s="8">
        <v>1</v>
      </c>
      <c r="U350" s="8">
        <v>1</v>
      </c>
      <c r="V350" s="8">
        <v>1</v>
      </c>
      <c r="W350" s="8">
        <v>1</v>
      </c>
      <c r="X350" s="8">
        <v>1</v>
      </c>
      <c r="Y350" s="8">
        <v>1</v>
      </c>
      <c r="Z350" s="8">
        <v>1</v>
      </c>
      <c r="AA350" s="8">
        <v>1</v>
      </c>
      <c r="AB350" s="8">
        <v>0</v>
      </c>
      <c r="AC350" s="8">
        <v>0</v>
      </c>
      <c r="AD350" s="8">
        <v>0</v>
      </c>
    </row>
    <row r="351" spans="1:30" ht="50" hidden="1" x14ac:dyDescent="0.25">
      <c r="A351" s="6">
        <v>1302</v>
      </c>
      <c r="B351" s="7" t="s">
        <v>437</v>
      </c>
      <c r="C351" s="7" t="s">
        <v>229</v>
      </c>
      <c r="D351" s="8">
        <v>9.6250000000000002E-2</v>
      </c>
      <c r="E351" s="7" t="s">
        <v>232</v>
      </c>
      <c r="F351" s="7" t="str">
        <f t="shared" si="5"/>
        <v>Wk1</v>
      </c>
      <c r="G351" s="8">
        <v>0</v>
      </c>
      <c r="H351" s="8">
        <v>0</v>
      </c>
      <c r="I351" s="8">
        <v>0</v>
      </c>
      <c r="J351" s="8">
        <v>0</v>
      </c>
      <c r="K351" s="8">
        <v>0</v>
      </c>
      <c r="L351" s="8">
        <v>0</v>
      </c>
      <c r="M351" s="8">
        <v>0</v>
      </c>
      <c r="N351" s="8">
        <v>0</v>
      </c>
      <c r="O351" s="8">
        <v>0</v>
      </c>
      <c r="P351" s="8">
        <v>1</v>
      </c>
      <c r="Q351" s="8">
        <v>1</v>
      </c>
      <c r="R351" s="8">
        <v>1</v>
      </c>
      <c r="S351" s="8">
        <v>1</v>
      </c>
      <c r="T351" s="8">
        <v>1</v>
      </c>
      <c r="U351" s="8">
        <v>1</v>
      </c>
      <c r="V351" s="8">
        <v>1</v>
      </c>
      <c r="W351" s="8">
        <v>1</v>
      </c>
      <c r="X351" s="8">
        <v>0</v>
      </c>
      <c r="Y351" s="8">
        <v>0</v>
      </c>
      <c r="Z351" s="8">
        <v>0</v>
      </c>
      <c r="AA351" s="8">
        <v>0</v>
      </c>
      <c r="AB351" s="8">
        <v>0</v>
      </c>
      <c r="AC351" s="8">
        <v>0</v>
      </c>
      <c r="AD351" s="8">
        <v>0</v>
      </c>
    </row>
    <row r="352" spans="1:30" ht="50" hidden="1" x14ac:dyDescent="0.25">
      <c r="A352" s="6">
        <v>1303</v>
      </c>
      <c r="B352" s="7" t="s">
        <v>438</v>
      </c>
      <c r="C352" s="7" t="s">
        <v>110</v>
      </c>
      <c r="D352" s="8">
        <v>1.0857142857714287E-2</v>
      </c>
      <c r="E352" s="7" t="s">
        <v>439</v>
      </c>
      <c r="F352" s="7" t="str">
        <f t="shared" si="5"/>
        <v>Wk1</v>
      </c>
      <c r="G352" s="8">
        <v>0.5</v>
      </c>
      <c r="H352" s="8">
        <v>0.5</v>
      </c>
      <c r="I352" s="8">
        <v>0.5</v>
      </c>
      <c r="J352" s="8">
        <v>0.5</v>
      </c>
      <c r="K352" s="8">
        <v>0.5</v>
      </c>
      <c r="L352" s="8">
        <v>0.5</v>
      </c>
      <c r="M352" s="8">
        <v>0.5</v>
      </c>
      <c r="N352" s="8">
        <v>0.75</v>
      </c>
      <c r="O352" s="8">
        <v>1</v>
      </c>
      <c r="P352" s="8">
        <v>1</v>
      </c>
      <c r="Q352" s="8">
        <v>1</v>
      </c>
      <c r="R352" s="8">
        <v>1</v>
      </c>
      <c r="S352" s="8">
        <v>1</v>
      </c>
      <c r="T352" s="8">
        <v>1</v>
      </c>
      <c r="U352" s="8">
        <v>1</v>
      </c>
      <c r="V352" s="8">
        <v>1</v>
      </c>
      <c r="W352" s="8">
        <v>1</v>
      </c>
      <c r="X352" s="8">
        <v>1</v>
      </c>
      <c r="Y352" s="8">
        <v>0.75</v>
      </c>
      <c r="Z352" s="8">
        <v>0.5</v>
      </c>
      <c r="AA352" s="8">
        <v>0.5</v>
      </c>
      <c r="AB352" s="8">
        <v>0.5</v>
      </c>
      <c r="AC352" s="8">
        <v>0.5</v>
      </c>
      <c r="AD352" s="8">
        <v>0.5</v>
      </c>
    </row>
    <row r="353" spans="1:30" ht="37.5" hidden="1" x14ac:dyDescent="0.25">
      <c r="A353" s="6">
        <v>1304</v>
      </c>
      <c r="B353" s="7" t="s">
        <v>440</v>
      </c>
      <c r="C353" s="7" t="s">
        <v>110</v>
      </c>
      <c r="D353" s="8">
        <v>9.5142857142857168E-2</v>
      </c>
      <c r="E353" s="7" t="s">
        <v>441</v>
      </c>
      <c r="F353" s="7" t="str">
        <f t="shared" si="5"/>
        <v>Wk1</v>
      </c>
      <c r="G353" s="8">
        <v>0.5</v>
      </c>
      <c r="H353" s="8">
        <v>0.5</v>
      </c>
      <c r="I353" s="8">
        <v>0.5</v>
      </c>
      <c r="J353" s="8">
        <v>0.5</v>
      </c>
      <c r="K353" s="8">
        <v>0.5</v>
      </c>
      <c r="L353" s="8">
        <v>0.5</v>
      </c>
      <c r="M353" s="8">
        <v>0.5</v>
      </c>
      <c r="N353" s="8">
        <v>0.75</v>
      </c>
      <c r="O353" s="8">
        <v>1</v>
      </c>
      <c r="P353" s="8">
        <v>1</v>
      </c>
      <c r="Q353" s="8">
        <v>1</v>
      </c>
      <c r="R353" s="8">
        <v>1</v>
      </c>
      <c r="S353" s="8">
        <v>1</v>
      </c>
      <c r="T353" s="8">
        <v>1</v>
      </c>
      <c r="U353" s="8">
        <v>1</v>
      </c>
      <c r="V353" s="8">
        <v>1</v>
      </c>
      <c r="W353" s="8">
        <v>1</v>
      </c>
      <c r="X353" s="8">
        <v>1</v>
      </c>
      <c r="Y353" s="8">
        <v>0.75</v>
      </c>
      <c r="Z353" s="8">
        <v>0.5</v>
      </c>
      <c r="AA353" s="8">
        <v>0.5</v>
      </c>
      <c r="AB353" s="8">
        <v>0.5</v>
      </c>
      <c r="AC353" s="8">
        <v>0.5</v>
      </c>
      <c r="AD353" s="8">
        <v>0.5</v>
      </c>
    </row>
    <row r="354" spans="1:30" ht="50" hidden="1" x14ac:dyDescent="0.25">
      <c r="A354" s="6">
        <v>1305</v>
      </c>
      <c r="B354" s="7" t="s">
        <v>442</v>
      </c>
      <c r="C354" s="7" t="s">
        <v>62</v>
      </c>
      <c r="D354" s="8">
        <v>0.11687500000000001</v>
      </c>
      <c r="E354" s="7" t="s">
        <v>443</v>
      </c>
      <c r="F354" s="7" t="str">
        <f t="shared" si="5"/>
        <v>Wk1</v>
      </c>
      <c r="G354" s="8">
        <v>0</v>
      </c>
      <c r="H354" s="8">
        <v>0</v>
      </c>
      <c r="I354" s="8">
        <v>0</v>
      </c>
      <c r="J354" s="8">
        <v>0</v>
      </c>
      <c r="K354" s="8">
        <v>0</v>
      </c>
      <c r="L354" s="8">
        <v>0</v>
      </c>
      <c r="M354" s="8">
        <v>0</v>
      </c>
      <c r="N354" s="8">
        <v>0</v>
      </c>
      <c r="O354" s="8">
        <v>0</v>
      </c>
      <c r="P354" s="8">
        <v>0.75</v>
      </c>
      <c r="Q354" s="8">
        <v>1</v>
      </c>
      <c r="R354" s="8">
        <v>1</v>
      </c>
      <c r="S354" s="8">
        <v>0.75</v>
      </c>
      <c r="T354" s="8">
        <v>0.75</v>
      </c>
      <c r="U354" s="8">
        <v>1</v>
      </c>
      <c r="V354" s="8">
        <v>1</v>
      </c>
      <c r="W354" s="8">
        <v>1</v>
      </c>
      <c r="X354" s="8">
        <v>0.75</v>
      </c>
      <c r="Y354" s="8">
        <v>0</v>
      </c>
      <c r="Z354" s="8">
        <v>0</v>
      </c>
      <c r="AA354" s="8">
        <v>0</v>
      </c>
      <c r="AB354" s="8">
        <v>0</v>
      </c>
      <c r="AC354" s="8">
        <v>0</v>
      </c>
      <c r="AD354" s="8">
        <v>0</v>
      </c>
    </row>
    <row r="355" spans="1:30" ht="50" hidden="1" x14ac:dyDescent="0.25">
      <c r="A355" s="6">
        <v>1306</v>
      </c>
      <c r="B355" s="7" t="s">
        <v>444</v>
      </c>
      <c r="C355" s="7" t="s">
        <v>62</v>
      </c>
      <c r="D355" s="8">
        <v>0.11687500000000001</v>
      </c>
      <c r="E355" s="7" t="s">
        <v>445</v>
      </c>
      <c r="F355" s="7" t="str">
        <f t="shared" si="5"/>
        <v>Wk1</v>
      </c>
      <c r="G355" s="8">
        <v>0</v>
      </c>
      <c r="H355" s="8">
        <v>0</v>
      </c>
      <c r="I355" s="8">
        <v>0</v>
      </c>
      <c r="J355" s="8">
        <v>0</v>
      </c>
      <c r="K355" s="8">
        <v>0</v>
      </c>
      <c r="L355" s="8">
        <v>0</v>
      </c>
      <c r="M355" s="8">
        <v>0</v>
      </c>
      <c r="N355" s="8">
        <v>0</v>
      </c>
      <c r="O355" s="8">
        <v>0</v>
      </c>
      <c r="P355" s="8">
        <v>0.75</v>
      </c>
      <c r="Q355" s="8">
        <v>1</v>
      </c>
      <c r="R355" s="8">
        <v>1</v>
      </c>
      <c r="S355" s="8">
        <v>0.75</v>
      </c>
      <c r="T355" s="8">
        <v>0.75</v>
      </c>
      <c r="U355" s="8">
        <v>1</v>
      </c>
      <c r="V355" s="8">
        <v>1</v>
      </c>
      <c r="W355" s="8">
        <v>1</v>
      </c>
      <c r="X355" s="8">
        <v>0.75</v>
      </c>
      <c r="Y355" s="8">
        <v>0</v>
      </c>
      <c r="Z355" s="8">
        <v>0</v>
      </c>
      <c r="AA355" s="8">
        <v>0</v>
      </c>
      <c r="AB355" s="8">
        <v>0</v>
      </c>
      <c r="AC355" s="8">
        <v>0</v>
      </c>
      <c r="AD355" s="8">
        <v>0</v>
      </c>
    </row>
    <row r="356" spans="1:30" ht="62.5" hidden="1" x14ac:dyDescent="0.25">
      <c r="A356" s="6">
        <v>1307</v>
      </c>
      <c r="B356" s="7" t="s">
        <v>446</v>
      </c>
      <c r="C356" s="7" t="s">
        <v>62</v>
      </c>
      <c r="D356" s="8">
        <v>0.11687500000000001</v>
      </c>
      <c r="E356" s="7" t="s">
        <v>447</v>
      </c>
      <c r="F356" s="7" t="str">
        <f t="shared" si="5"/>
        <v>Wk1</v>
      </c>
      <c r="G356" s="8">
        <v>0</v>
      </c>
      <c r="H356" s="8">
        <v>0</v>
      </c>
      <c r="I356" s="8">
        <v>0</v>
      </c>
      <c r="J356" s="8">
        <v>0</v>
      </c>
      <c r="K356" s="8">
        <v>0</v>
      </c>
      <c r="L356" s="8">
        <v>0</v>
      </c>
      <c r="M356" s="8">
        <v>0</v>
      </c>
      <c r="N356" s="8">
        <v>0</v>
      </c>
      <c r="O356" s="8">
        <v>0</v>
      </c>
      <c r="P356" s="8">
        <v>0.75</v>
      </c>
      <c r="Q356" s="8">
        <v>1</v>
      </c>
      <c r="R356" s="8">
        <v>1</v>
      </c>
      <c r="S356" s="8">
        <v>0.75</v>
      </c>
      <c r="T356" s="8">
        <v>0.75</v>
      </c>
      <c r="U356" s="8">
        <v>1</v>
      </c>
      <c r="V356" s="8">
        <v>1</v>
      </c>
      <c r="W356" s="8">
        <v>1</v>
      </c>
      <c r="X356" s="8">
        <v>0.75</v>
      </c>
      <c r="Y356" s="8">
        <v>0</v>
      </c>
      <c r="Z356" s="8">
        <v>0</v>
      </c>
      <c r="AA356" s="8">
        <v>0</v>
      </c>
      <c r="AB356" s="8">
        <v>0</v>
      </c>
      <c r="AC356" s="8">
        <v>0</v>
      </c>
      <c r="AD356" s="8">
        <v>0</v>
      </c>
    </row>
    <row r="357" spans="1:30" ht="50" hidden="1" x14ac:dyDescent="0.25">
      <c r="A357" s="6">
        <v>1308</v>
      </c>
      <c r="B357" s="7" t="s">
        <v>448</v>
      </c>
      <c r="C357" s="7" t="s">
        <v>62</v>
      </c>
      <c r="D357" s="8">
        <v>0.11687500000000001</v>
      </c>
      <c r="E357" s="7" t="s">
        <v>449</v>
      </c>
      <c r="F357" s="7" t="str">
        <f t="shared" si="5"/>
        <v>Wk1</v>
      </c>
      <c r="G357" s="8">
        <v>0</v>
      </c>
      <c r="H357" s="8">
        <v>0</v>
      </c>
      <c r="I357" s="8">
        <v>0</v>
      </c>
      <c r="J357" s="8">
        <v>0</v>
      </c>
      <c r="K357" s="8">
        <v>0</v>
      </c>
      <c r="L357" s="8">
        <v>0</v>
      </c>
      <c r="M357" s="8">
        <v>0</v>
      </c>
      <c r="N357" s="8">
        <v>0</v>
      </c>
      <c r="O357" s="8">
        <v>0</v>
      </c>
      <c r="P357" s="8">
        <v>0.75</v>
      </c>
      <c r="Q357" s="8">
        <v>1</v>
      </c>
      <c r="R357" s="8">
        <v>1</v>
      </c>
      <c r="S357" s="8">
        <v>0.75</v>
      </c>
      <c r="T357" s="8">
        <v>0.75</v>
      </c>
      <c r="U357" s="8">
        <v>1</v>
      </c>
      <c r="V357" s="8">
        <v>1</v>
      </c>
      <c r="W357" s="8">
        <v>1</v>
      </c>
      <c r="X357" s="8">
        <v>0.75</v>
      </c>
      <c r="Y357" s="8">
        <v>0</v>
      </c>
      <c r="Z357" s="8">
        <v>0</v>
      </c>
      <c r="AA357" s="8">
        <v>0</v>
      </c>
      <c r="AB357" s="8">
        <v>0</v>
      </c>
      <c r="AC357" s="8">
        <v>0</v>
      </c>
      <c r="AD357" s="8">
        <v>0</v>
      </c>
    </row>
    <row r="358" spans="1:30" ht="50" hidden="1" x14ac:dyDescent="0.25">
      <c r="A358" s="6">
        <v>1309</v>
      </c>
      <c r="B358" s="7" t="s">
        <v>450</v>
      </c>
      <c r="C358" s="7" t="s">
        <v>62</v>
      </c>
      <c r="D358" s="8">
        <v>0.11687500000000001</v>
      </c>
      <c r="E358" s="7" t="s">
        <v>451</v>
      </c>
      <c r="F358" s="7" t="str">
        <f t="shared" si="5"/>
        <v>Wk1</v>
      </c>
      <c r="G358" s="8">
        <v>0</v>
      </c>
      <c r="H358" s="8">
        <v>0</v>
      </c>
      <c r="I358" s="8">
        <v>0</v>
      </c>
      <c r="J358" s="8">
        <v>0</v>
      </c>
      <c r="K358" s="8">
        <v>0</v>
      </c>
      <c r="L358" s="8">
        <v>0</v>
      </c>
      <c r="M358" s="8">
        <v>0</v>
      </c>
      <c r="N358" s="8">
        <v>0</v>
      </c>
      <c r="O358" s="8">
        <v>0</v>
      </c>
      <c r="P358" s="8">
        <v>0.75</v>
      </c>
      <c r="Q358" s="8">
        <v>1</v>
      </c>
      <c r="R358" s="8">
        <v>1</v>
      </c>
      <c r="S358" s="8">
        <v>0.75</v>
      </c>
      <c r="T358" s="8">
        <v>0.75</v>
      </c>
      <c r="U358" s="8">
        <v>1</v>
      </c>
      <c r="V358" s="8">
        <v>1</v>
      </c>
      <c r="W358" s="8">
        <v>1</v>
      </c>
      <c r="X358" s="8">
        <v>0.75</v>
      </c>
      <c r="Y358" s="8">
        <v>0</v>
      </c>
      <c r="Z358" s="8">
        <v>0</v>
      </c>
      <c r="AA358" s="8">
        <v>0</v>
      </c>
      <c r="AB358" s="8">
        <v>0</v>
      </c>
      <c r="AC358" s="8">
        <v>0</v>
      </c>
      <c r="AD358" s="8">
        <v>0</v>
      </c>
    </row>
    <row r="359" spans="1:30" ht="50" hidden="1" x14ac:dyDescent="0.25">
      <c r="A359" s="6">
        <v>1310</v>
      </c>
      <c r="B359" s="7" t="s">
        <v>452</v>
      </c>
      <c r="C359" s="7" t="s">
        <v>62</v>
      </c>
      <c r="D359" s="8">
        <v>0.11687500000000001</v>
      </c>
      <c r="E359" s="7" t="s">
        <v>453</v>
      </c>
      <c r="F359" s="7" t="str">
        <f t="shared" si="5"/>
        <v>Wk1</v>
      </c>
      <c r="G359" s="8">
        <v>0</v>
      </c>
      <c r="H359" s="8">
        <v>0</v>
      </c>
      <c r="I359" s="8">
        <v>0</v>
      </c>
      <c r="J359" s="8">
        <v>0</v>
      </c>
      <c r="K359" s="8">
        <v>0</v>
      </c>
      <c r="L359" s="8">
        <v>0</v>
      </c>
      <c r="M359" s="8">
        <v>0</v>
      </c>
      <c r="N359" s="8">
        <v>0</v>
      </c>
      <c r="O359" s="8">
        <v>0</v>
      </c>
      <c r="P359" s="8">
        <v>0.75</v>
      </c>
      <c r="Q359" s="8">
        <v>1</v>
      </c>
      <c r="R359" s="8">
        <v>1</v>
      </c>
      <c r="S359" s="8">
        <v>0.75</v>
      </c>
      <c r="T359" s="8">
        <v>0.75</v>
      </c>
      <c r="U359" s="8">
        <v>1</v>
      </c>
      <c r="V359" s="8">
        <v>1</v>
      </c>
      <c r="W359" s="8">
        <v>1</v>
      </c>
      <c r="X359" s="8">
        <v>0.75</v>
      </c>
      <c r="Y359" s="8">
        <v>0</v>
      </c>
      <c r="Z359" s="8">
        <v>0</v>
      </c>
      <c r="AA359" s="8">
        <v>0</v>
      </c>
      <c r="AB359" s="8">
        <v>0</v>
      </c>
      <c r="AC359" s="8">
        <v>0</v>
      </c>
      <c r="AD359" s="8">
        <v>0</v>
      </c>
    </row>
  </sheetData>
  <autoFilter ref="A8:AD359" xr:uid="{00000000-0009-0000-0000-000001000000}">
    <filterColumn colId="1">
      <filters>
        <filter val="Eating/drinking area"/>
      </filters>
    </filterColumn>
    <filterColumn colId="5">
      <filters>
        <filter val="WK1"/>
      </filters>
    </filterColumn>
  </autoFilter>
  <pageMargins left="0.75" right="0.75" top="1" bottom="1" header="0.5" footer="0.5"/>
  <pageSetup paperSize="9" orientation="portrait" verticalDpi="59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U96"/>
  <sheetViews>
    <sheetView zoomScaleNormal="100" workbookViewId="0">
      <pane xSplit="1" ySplit="3" topLeftCell="H4" activePane="bottomRight" state="frozen"/>
      <selection pane="topRight" activeCell="C1" sqref="C1"/>
      <selection pane="bottomLeft" activeCell="A3" sqref="A3"/>
      <selection pane="bottomRight" activeCell="J17" sqref="J17"/>
    </sheetView>
  </sheetViews>
  <sheetFormatPr defaultRowHeight="13" x14ac:dyDescent="0.3"/>
  <cols>
    <col min="1" max="1" width="66.453125" style="3" customWidth="1"/>
    <col min="2" max="2" width="62.453125" style="4" customWidth="1"/>
    <col min="3" max="3" width="13.81640625" style="1" customWidth="1"/>
    <col min="4" max="6" width="11.7265625" style="1" customWidth="1"/>
    <col min="7" max="8" width="11.7265625" style="14" customWidth="1"/>
    <col min="9" max="10" width="10.26953125" style="2" customWidth="1"/>
    <col min="11" max="11" width="14.26953125" style="2" customWidth="1"/>
    <col min="12" max="12" width="11" style="2" customWidth="1"/>
    <col min="13" max="13" width="11.1796875" style="2" customWidth="1"/>
    <col min="14" max="14" width="12.1796875" style="2" customWidth="1"/>
    <col min="15" max="15" width="12.453125" style="2" customWidth="1"/>
    <col min="16" max="16" width="11.26953125" style="2" customWidth="1"/>
    <col min="17" max="17" width="10" style="2" customWidth="1"/>
    <col min="18" max="20" width="13.7265625" style="2" customWidth="1"/>
    <col min="21" max="21" width="15" style="2" customWidth="1"/>
    <col min="22" max="22" width="11.1796875" style="2" customWidth="1"/>
    <col min="23" max="23" width="14.453125" style="2" customWidth="1"/>
    <col min="24" max="25" width="14.81640625" style="2" customWidth="1"/>
    <col min="26" max="26" width="16.26953125" style="2" customWidth="1"/>
    <col min="27" max="27" width="10" style="2" customWidth="1"/>
    <col min="28" max="28" width="10.1796875" style="2" customWidth="1"/>
    <col min="29" max="29" width="10.54296875" style="12" customWidth="1"/>
    <col min="30" max="33" width="9.1796875" style="2"/>
    <col min="34" max="34" width="11.54296875" style="2" customWidth="1"/>
    <col min="35" max="36" width="10.453125" style="2" customWidth="1"/>
    <col min="37" max="39" width="12" style="2" customWidth="1"/>
    <col min="40" max="40" width="12.26953125" style="2" customWidth="1"/>
    <col min="41" max="41" width="12.81640625" style="2" customWidth="1"/>
    <col min="42" max="42" width="12.26953125" style="2" customWidth="1"/>
    <col min="43" max="44" width="9.1796875" style="2"/>
    <col min="45" max="45" width="9.81640625" style="2" customWidth="1"/>
    <col min="46" max="46" width="41.1796875" customWidth="1"/>
    <col min="47" max="52" width="10.7265625" customWidth="1"/>
    <col min="53" max="53" width="34" customWidth="1"/>
    <col min="55" max="55" width="15.7265625" hidden="1" customWidth="1"/>
    <col min="56" max="56" width="14.54296875" hidden="1" customWidth="1"/>
    <col min="57" max="57" width="2.453125" customWidth="1"/>
    <col min="58" max="58" width="16.453125" customWidth="1"/>
    <col min="59" max="59" width="14.81640625" customWidth="1"/>
    <col min="60" max="60" width="2.26953125" customWidth="1"/>
    <col min="61" max="61" width="16.1796875" customWidth="1"/>
    <col min="62" max="62" width="15.81640625" customWidth="1"/>
    <col min="63" max="63" width="3.26953125" customWidth="1"/>
    <col min="64" max="64" width="14" customWidth="1"/>
    <col min="65" max="65" width="14.7265625" customWidth="1"/>
    <col min="66" max="66" width="2.7265625" customWidth="1"/>
    <col min="67" max="67" width="17.453125" style="15" customWidth="1"/>
    <col min="68" max="68" width="18.54296875" style="15" customWidth="1"/>
    <col min="69" max="69" width="20.26953125" style="13" customWidth="1"/>
    <col min="70" max="70" width="20.54296875" customWidth="1"/>
    <col min="71" max="71" width="17" customWidth="1"/>
    <col min="72" max="72" width="16.1796875" customWidth="1"/>
    <col min="73" max="73" width="25" customWidth="1"/>
  </cols>
  <sheetData>
    <row r="1" spans="1:73" s="29" customFormat="1" ht="12.5" x14ac:dyDescent="0.25">
      <c r="A1" s="492">
        <v>1</v>
      </c>
      <c r="B1" s="493">
        <v>2</v>
      </c>
      <c r="C1" s="492">
        <v>3</v>
      </c>
      <c r="D1" s="492">
        <v>4</v>
      </c>
      <c r="E1" s="492">
        <v>5</v>
      </c>
      <c r="F1" s="492">
        <v>6</v>
      </c>
      <c r="G1" s="492">
        <v>7</v>
      </c>
      <c r="H1" s="492">
        <v>8</v>
      </c>
      <c r="I1" s="492">
        <v>9</v>
      </c>
      <c r="J1" s="492">
        <v>10</v>
      </c>
      <c r="K1" s="492">
        <v>11</v>
      </c>
      <c r="L1" s="492">
        <v>12</v>
      </c>
      <c r="M1" s="492">
        <v>13</v>
      </c>
      <c r="N1" s="492">
        <v>14</v>
      </c>
      <c r="O1" s="492">
        <v>15</v>
      </c>
      <c r="P1" s="492">
        <v>16</v>
      </c>
      <c r="Q1" s="492">
        <v>17</v>
      </c>
      <c r="R1" s="492">
        <v>18</v>
      </c>
      <c r="S1" s="492">
        <v>19</v>
      </c>
      <c r="T1" s="492">
        <v>20</v>
      </c>
      <c r="U1" s="492">
        <v>21</v>
      </c>
      <c r="V1" s="492">
        <v>22</v>
      </c>
      <c r="W1" s="492">
        <v>23</v>
      </c>
      <c r="X1" s="492">
        <v>24</v>
      </c>
      <c r="Y1" s="492">
        <v>25</v>
      </c>
      <c r="Z1" s="492">
        <v>26</v>
      </c>
      <c r="AA1" s="492">
        <v>27</v>
      </c>
      <c r="AB1" s="492">
        <v>28</v>
      </c>
      <c r="AC1" s="492">
        <v>29</v>
      </c>
      <c r="AD1" s="492">
        <v>30</v>
      </c>
      <c r="AE1" s="492">
        <v>31</v>
      </c>
      <c r="AF1" s="492">
        <v>32</v>
      </c>
      <c r="AG1" s="492">
        <v>33</v>
      </c>
      <c r="AH1" s="492">
        <v>34</v>
      </c>
      <c r="AI1" s="492">
        <v>35</v>
      </c>
      <c r="AJ1" s="492">
        <v>36</v>
      </c>
      <c r="AK1" s="492">
        <v>37</v>
      </c>
      <c r="AL1" s="492">
        <v>38</v>
      </c>
      <c r="AM1" s="492">
        <v>39</v>
      </c>
      <c r="AN1" s="492">
        <v>40</v>
      </c>
      <c r="AO1" s="492">
        <v>41</v>
      </c>
      <c r="AP1" s="492">
        <v>42</v>
      </c>
      <c r="AQ1" s="492">
        <v>43</v>
      </c>
      <c r="AR1" s="492">
        <v>44</v>
      </c>
      <c r="AS1" s="492"/>
      <c r="AT1" s="492">
        <v>1</v>
      </c>
      <c r="AU1" s="492">
        <v>2</v>
      </c>
      <c r="AV1" s="492">
        <v>3</v>
      </c>
      <c r="AW1" s="492">
        <v>4</v>
      </c>
      <c r="AX1" s="492">
        <v>5</v>
      </c>
      <c r="AY1" s="492">
        <v>6</v>
      </c>
      <c r="AZ1" s="492">
        <v>7</v>
      </c>
      <c r="BA1" s="492">
        <v>8</v>
      </c>
      <c r="BB1" s="492"/>
      <c r="BC1" s="492"/>
      <c r="BD1" s="492"/>
      <c r="BE1" s="492"/>
      <c r="BF1" s="492"/>
      <c r="BG1" s="492"/>
      <c r="BH1" s="492"/>
      <c r="BI1" s="492"/>
      <c r="BJ1" s="492"/>
      <c r="BK1" s="492"/>
      <c r="BL1" s="492"/>
      <c r="BM1" s="492"/>
      <c r="BN1" s="492"/>
      <c r="BO1" s="28"/>
      <c r="BP1" s="28"/>
      <c r="BQ1" s="492"/>
      <c r="BR1" s="492"/>
      <c r="BS1" s="492"/>
      <c r="BT1" s="492"/>
      <c r="BU1" s="492"/>
    </row>
    <row r="2" spans="1:73" s="44" customFormat="1" ht="27" customHeight="1" x14ac:dyDescent="0.25">
      <c r="A2" s="178"/>
      <c r="B2" s="494"/>
      <c r="C2" s="179" t="s">
        <v>454</v>
      </c>
      <c r="D2" s="180"/>
      <c r="E2" s="181"/>
      <c r="F2" s="180" t="s">
        <v>455</v>
      </c>
      <c r="G2" s="536" t="s">
        <v>456</v>
      </c>
      <c r="H2" s="537"/>
      <c r="I2" s="182" t="s">
        <v>457</v>
      </c>
      <c r="J2" s="183"/>
      <c r="K2" s="495"/>
      <c r="L2" s="495"/>
      <c r="M2" s="495"/>
      <c r="N2" s="495"/>
      <c r="O2" s="495"/>
      <c r="P2" s="495"/>
      <c r="Q2" s="495"/>
      <c r="R2" s="495"/>
      <c r="S2" s="495"/>
      <c r="T2" s="495"/>
      <c r="U2" s="495"/>
      <c r="V2" s="495"/>
      <c r="W2" s="495"/>
      <c r="X2" s="495"/>
      <c r="Y2" s="495"/>
      <c r="Z2" s="495"/>
      <c r="AA2" s="182" t="s">
        <v>458</v>
      </c>
      <c r="AB2" s="495"/>
      <c r="AC2" s="495"/>
      <c r="AD2" s="495"/>
      <c r="AE2" s="495"/>
      <c r="AF2" s="495"/>
      <c r="AG2" s="495"/>
      <c r="AH2" s="495"/>
      <c r="AI2" s="495"/>
      <c r="AJ2" s="495"/>
      <c r="AK2" s="495"/>
      <c r="AL2" s="495"/>
      <c r="AM2" s="495"/>
      <c r="AN2" s="495"/>
      <c r="AO2" s="495"/>
      <c r="AP2" s="495"/>
      <c r="AQ2" s="182" t="s">
        <v>459</v>
      </c>
      <c r="AR2" s="496"/>
      <c r="AS2" s="43"/>
      <c r="AT2" s="191" t="s">
        <v>460</v>
      </c>
      <c r="AU2" s="497"/>
      <c r="AV2" s="497"/>
      <c r="AW2" s="497"/>
      <c r="AX2" s="497"/>
      <c r="AY2" s="497"/>
      <c r="AZ2" s="497"/>
      <c r="BA2" s="498"/>
      <c r="BB2" s="68"/>
      <c r="BC2" s="68"/>
      <c r="BD2" s="68"/>
      <c r="BE2" s="68"/>
      <c r="BF2" s="68"/>
      <c r="BG2" s="68"/>
      <c r="BH2" s="68"/>
      <c r="BI2" s="68"/>
      <c r="BJ2" s="68"/>
      <c r="BK2" s="68"/>
      <c r="BL2" s="68"/>
      <c r="BM2" s="68"/>
      <c r="BN2" s="68"/>
      <c r="BO2" s="68"/>
      <c r="BP2" s="68"/>
      <c r="BQ2" s="492"/>
      <c r="BR2" s="68"/>
      <c r="BS2" s="68"/>
      <c r="BT2" s="68"/>
      <c r="BU2" s="68"/>
    </row>
    <row r="3" spans="1:73" s="48" customFormat="1" ht="58.5" customHeight="1" x14ac:dyDescent="0.3">
      <c r="A3" s="184" t="s">
        <v>461</v>
      </c>
      <c r="B3" s="185" t="s">
        <v>462</v>
      </c>
      <c r="C3" s="186" t="s">
        <v>463</v>
      </c>
      <c r="D3" s="186" t="s">
        <v>464</v>
      </c>
      <c r="E3" s="186" t="s">
        <v>465</v>
      </c>
      <c r="F3" s="186" t="s">
        <v>466</v>
      </c>
      <c r="G3" s="187" t="s">
        <v>467</v>
      </c>
      <c r="H3" s="187" t="s">
        <v>468</v>
      </c>
      <c r="I3" s="188" t="s">
        <v>469</v>
      </c>
      <c r="J3" s="188" t="s">
        <v>470</v>
      </c>
      <c r="K3" s="188" t="s">
        <v>471</v>
      </c>
      <c r="L3" s="188" t="s">
        <v>472</v>
      </c>
      <c r="M3" s="188" t="s">
        <v>473</v>
      </c>
      <c r="N3" s="188" t="s">
        <v>474</v>
      </c>
      <c r="O3" s="188" t="s">
        <v>475</v>
      </c>
      <c r="P3" s="188" t="s">
        <v>476</v>
      </c>
      <c r="Q3" s="188" t="s">
        <v>477</v>
      </c>
      <c r="R3" s="188" t="s">
        <v>478</v>
      </c>
      <c r="S3" s="188" t="s">
        <v>479</v>
      </c>
      <c r="T3" s="188" t="s">
        <v>480</v>
      </c>
      <c r="U3" s="188" t="s">
        <v>481</v>
      </c>
      <c r="V3" s="188" t="s">
        <v>482</v>
      </c>
      <c r="W3" s="188" t="s">
        <v>483</v>
      </c>
      <c r="X3" s="188" t="s">
        <v>484</v>
      </c>
      <c r="Y3" s="188" t="s">
        <v>485</v>
      </c>
      <c r="Z3" s="188" t="s">
        <v>486</v>
      </c>
      <c r="AA3" s="188" t="s">
        <v>487</v>
      </c>
      <c r="AB3" s="188" t="s">
        <v>488</v>
      </c>
      <c r="AC3" s="189" t="s">
        <v>489</v>
      </c>
      <c r="AD3" s="188" t="s">
        <v>490</v>
      </c>
      <c r="AE3" s="188" t="s">
        <v>491</v>
      </c>
      <c r="AF3" s="188" t="s">
        <v>492</v>
      </c>
      <c r="AG3" s="188" t="s">
        <v>493</v>
      </c>
      <c r="AH3" s="188" t="s">
        <v>494</v>
      </c>
      <c r="AI3" s="188" t="s">
        <v>479</v>
      </c>
      <c r="AJ3" s="188" t="s">
        <v>495</v>
      </c>
      <c r="AK3" s="188" t="s">
        <v>481</v>
      </c>
      <c r="AL3" s="188" t="s">
        <v>482</v>
      </c>
      <c r="AM3" s="188" t="s">
        <v>496</v>
      </c>
      <c r="AN3" s="188" t="s">
        <v>484</v>
      </c>
      <c r="AO3" s="190" t="s">
        <v>485</v>
      </c>
      <c r="AP3" s="190" t="s">
        <v>486</v>
      </c>
      <c r="AQ3" s="190" t="s">
        <v>497</v>
      </c>
      <c r="AR3" s="190" t="s">
        <v>498</v>
      </c>
      <c r="AS3" s="47"/>
      <c r="AT3" s="192" t="s">
        <v>499</v>
      </c>
      <c r="AU3" s="193" t="s">
        <v>500</v>
      </c>
      <c r="AV3" s="193" t="s">
        <v>501</v>
      </c>
      <c r="AW3" s="193" t="s">
        <v>502</v>
      </c>
      <c r="AX3" s="193" t="s">
        <v>503</v>
      </c>
      <c r="AY3" s="193" t="s">
        <v>504</v>
      </c>
      <c r="AZ3" s="193" t="s">
        <v>505</v>
      </c>
      <c r="BA3" s="192" t="s">
        <v>506</v>
      </c>
      <c r="BC3" s="178" t="s">
        <v>507</v>
      </c>
      <c r="BD3" s="499"/>
      <c r="BF3" s="178" t="s">
        <v>508</v>
      </c>
      <c r="BG3" s="499"/>
      <c r="BI3" s="178" t="s">
        <v>509</v>
      </c>
      <c r="BJ3" s="499"/>
      <c r="BL3" s="178" t="s">
        <v>510</v>
      </c>
      <c r="BM3" s="499"/>
      <c r="BO3" s="178" t="s">
        <v>511</v>
      </c>
      <c r="BP3" s="499"/>
      <c r="BQ3" s="492"/>
      <c r="BR3" s="3" t="s">
        <v>512</v>
      </c>
    </row>
    <row r="4" spans="1:73" s="50" customFormat="1" ht="32.15" customHeight="1" x14ac:dyDescent="0.25">
      <c r="A4" s="194" t="s">
        <v>513</v>
      </c>
      <c r="B4" s="195" t="s">
        <v>514</v>
      </c>
      <c r="C4" s="196" t="s">
        <v>515</v>
      </c>
      <c r="D4" s="196">
        <v>253</v>
      </c>
      <c r="E4" s="196">
        <v>10</v>
      </c>
      <c r="F4" s="196" t="s">
        <v>516</v>
      </c>
      <c r="G4" s="197">
        <v>0.5</v>
      </c>
      <c r="H4" s="197">
        <v>0.5</v>
      </c>
      <c r="I4" s="198">
        <v>1</v>
      </c>
      <c r="J4" s="198">
        <v>4</v>
      </c>
      <c r="K4" s="198">
        <v>4</v>
      </c>
      <c r="L4" s="198">
        <v>3</v>
      </c>
      <c r="M4" s="198">
        <v>4</v>
      </c>
      <c r="N4" s="198">
        <v>0.03</v>
      </c>
      <c r="O4" s="198" t="s">
        <v>517</v>
      </c>
      <c r="P4" s="198" t="s">
        <v>517</v>
      </c>
      <c r="Q4" s="198" t="s">
        <v>517</v>
      </c>
      <c r="R4" s="198" t="s">
        <v>515</v>
      </c>
      <c r="S4" s="198" t="s">
        <v>515</v>
      </c>
      <c r="T4" s="198" t="s">
        <v>515</v>
      </c>
      <c r="U4" s="198" t="s">
        <v>515</v>
      </c>
      <c r="V4" s="198" t="s">
        <v>517</v>
      </c>
      <c r="W4" s="196" t="s">
        <v>515</v>
      </c>
      <c r="X4" s="198">
        <v>1.58</v>
      </c>
      <c r="Y4" s="196" t="s">
        <v>515</v>
      </c>
      <c r="Z4" s="196" t="s">
        <v>515</v>
      </c>
      <c r="AA4" s="198">
        <v>1</v>
      </c>
      <c r="AB4" s="198">
        <v>1</v>
      </c>
      <c r="AC4" s="199">
        <v>0.25</v>
      </c>
      <c r="AD4" s="198">
        <v>5.6</v>
      </c>
      <c r="AE4" s="198">
        <v>4.37</v>
      </c>
      <c r="AF4" s="198">
        <v>1</v>
      </c>
      <c r="AG4" s="198">
        <v>1</v>
      </c>
      <c r="AH4" s="196" t="s">
        <v>515</v>
      </c>
      <c r="AI4" s="196" t="s">
        <v>515</v>
      </c>
      <c r="AJ4" s="196" t="s">
        <v>515</v>
      </c>
      <c r="AK4" s="196" t="s">
        <v>515</v>
      </c>
      <c r="AL4" s="196" t="s">
        <v>515</v>
      </c>
      <c r="AM4" s="196" t="s">
        <v>515</v>
      </c>
      <c r="AN4" s="198">
        <v>1</v>
      </c>
      <c r="AO4" s="196" t="s">
        <v>515</v>
      </c>
      <c r="AP4" s="196" t="s">
        <v>515</v>
      </c>
      <c r="AQ4" s="197">
        <v>0.4</v>
      </c>
      <c r="AR4" s="199">
        <v>0.67700000000000005</v>
      </c>
      <c r="AS4" s="500"/>
      <c r="AT4" s="60" t="s">
        <v>469</v>
      </c>
      <c r="AU4" s="70">
        <v>6</v>
      </c>
      <c r="AV4" s="70">
        <v>5</v>
      </c>
      <c r="AW4" s="70">
        <v>4.5</v>
      </c>
      <c r="AX4" s="70">
        <v>4</v>
      </c>
      <c r="AY4" s="70">
        <v>3.75</v>
      </c>
      <c r="AZ4" s="70">
        <v>3</v>
      </c>
      <c r="BA4" s="63" t="s">
        <v>518</v>
      </c>
      <c r="BB4" s="68"/>
      <c r="BC4" s="501">
        <v>0</v>
      </c>
      <c r="BD4" s="502" t="s">
        <v>519</v>
      </c>
      <c r="BE4" s="68"/>
      <c r="BF4" s="501">
        <v>0</v>
      </c>
      <c r="BG4" s="502" t="s">
        <v>519</v>
      </c>
      <c r="BH4" s="68"/>
      <c r="BI4" s="501">
        <v>0</v>
      </c>
      <c r="BJ4" s="502" t="s">
        <v>519</v>
      </c>
      <c r="BK4" s="68"/>
      <c r="BL4" s="501">
        <v>0</v>
      </c>
      <c r="BM4" s="502" t="s">
        <v>519</v>
      </c>
      <c r="BN4" s="68"/>
      <c r="BO4" s="501">
        <v>0</v>
      </c>
      <c r="BP4" s="502" t="s">
        <v>519</v>
      </c>
      <c r="BQ4" s="503"/>
      <c r="BR4" t="s">
        <v>520</v>
      </c>
      <c r="BS4" s="503"/>
      <c r="BT4" s="503"/>
      <c r="BU4" s="503"/>
    </row>
    <row r="5" spans="1:73" s="44" customFormat="1" ht="32.15" customHeight="1" x14ac:dyDescent="0.25">
      <c r="A5" s="66" t="s">
        <v>521</v>
      </c>
      <c r="B5" s="67" t="s">
        <v>522</v>
      </c>
      <c r="C5" s="84">
        <v>0.111</v>
      </c>
      <c r="D5" s="200"/>
      <c r="E5" s="200"/>
      <c r="F5" s="200"/>
      <c r="G5" s="201"/>
      <c r="H5" s="201"/>
      <c r="I5" s="202"/>
      <c r="J5" s="202"/>
      <c r="K5" s="202"/>
      <c r="L5" s="202"/>
      <c r="M5" s="202"/>
      <c r="N5" s="202"/>
      <c r="O5" s="202"/>
      <c r="P5" s="202"/>
      <c r="Q5" s="202"/>
      <c r="R5" s="203">
        <v>1</v>
      </c>
      <c r="S5" s="202"/>
      <c r="T5" s="202"/>
      <c r="U5" s="203">
        <v>0.04</v>
      </c>
      <c r="V5" s="202"/>
      <c r="W5" s="202"/>
      <c r="X5" s="202"/>
      <c r="Y5" s="202"/>
      <c r="Z5" s="202"/>
      <c r="AA5" s="202"/>
      <c r="AB5" s="202"/>
      <c r="AC5" s="204"/>
      <c r="AD5" s="202"/>
      <c r="AE5" s="202"/>
      <c r="AF5" s="202"/>
      <c r="AG5" s="202"/>
      <c r="AH5" s="203">
        <v>0.67</v>
      </c>
      <c r="AI5" s="202"/>
      <c r="AJ5" s="202"/>
      <c r="AK5" s="203">
        <v>1</v>
      </c>
      <c r="AL5" s="203" t="s">
        <v>517</v>
      </c>
      <c r="AM5" s="202"/>
      <c r="AN5" s="202"/>
      <c r="AO5" s="202"/>
      <c r="AP5" s="202"/>
      <c r="AQ5" s="202"/>
      <c r="AR5" s="202"/>
      <c r="AS5" s="500"/>
      <c r="AT5" s="60" t="s">
        <v>470</v>
      </c>
      <c r="AU5" s="71">
        <v>6</v>
      </c>
      <c r="AV5" s="71">
        <v>5</v>
      </c>
      <c r="AW5" s="71">
        <v>4.5</v>
      </c>
      <c r="AX5" s="71">
        <v>4</v>
      </c>
      <c r="AY5" s="71">
        <v>3.75</v>
      </c>
      <c r="AZ5" s="71">
        <v>3</v>
      </c>
      <c r="BA5" s="504" t="s">
        <v>518</v>
      </c>
      <c r="BB5" s="68"/>
      <c r="BC5" s="501">
        <v>0.125</v>
      </c>
      <c r="BD5" s="502" t="s">
        <v>523</v>
      </c>
      <c r="BE5" s="68"/>
      <c r="BF5" s="501">
        <v>0.125</v>
      </c>
      <c r="BG5" s="502" t="s">
        <v>523</v>
      </c>
      <c r="BH5" s="68"/>
      <c r="BI5" s="501">
        <v>0.125</v>
      </c>
      <c r="BJ5" s="502" t="s">
        <v>523</v>
      </c>
      <c r="BK5" s="68"/>
      <c r="BL5" s="501">
        <v>0.125</v>
      </c>
      <c r="BM5" s="502" t="s">
        <v>523</v>
      </c>
      <c r="BN5" s="68"/>
      <c r="BO5" s="501">
        <v>0.125</v>
      </c>
      <c r="BP5" s="502" t="s">
        <v>523</v>
      </c>
      <c r="BQ5" s="68"/>
      <c r="BR5" t="s">
        <v>524</v>
      </c>
      <c r="BS5" s="68"/>
      <c r="BT5" s="68"/>
      <c r="BU5" s="68"/>
    </row>
    <row r="6" spans="1:73" s="44" customFormat="1" ht="33.75" customHeight="1" x14ac:dyDescent="0.25">
      <c r="A6" s="66" t="s">
        <v>525</v>
      </c>
      <c r="B6" s="67" t="s">
        <v>526</v>
      </c>
      <c r="C6" s="84">
        <v>4.3299999999999998E-2</v>
      </c>
      <c r="D6" s="200"/>
      <c r="E6" s="200"/>
      <c r="F6" s="200"/>
      <c r="G6" s="201"/>
      <c r="H6" s="201"/>
      <c r="I6" s="202"/>
      <c r="J6" s="202"/>
      <c r="K6" s="202"/>
      <c r="L6" s="202"/>
      <c r="M6" s="202"/>
      <c r="N6" s="202"/>
      <c r="O6" s="202"/>
      <c r="P6" s="202"/>
      <c r="Q6" s="202"/>
      <c r="R6" s="202"/>
      <c r="S6" s="203" t="s">
        <v>527</v>
      </c>
      <c r="T6" s="202"/>
      <c r="U6" s="203" t="s">
        <v>527</v>
      </c>
      <c r="V6" s="202" t="s">
        <v>517</v>
      </c>
      <c r="W6" s="203" t="s">
        <v>527</v>
      </c>
      <c r="X6" s="202"/>
      <c r="Y6" s="203" t="str">
        <f>IF('Office calculator'!F18="yes",'Office calculator'!G18*0.868*2.674,"see note")</f>
        <v>see note</v>
      </c>
      <c r="Z6" s="203" t="str">
        <f>IF('Office calculator'!F18="yes",'Office calculator'!G18*6.314*0.868,"See note")</f>
        <v>See note</v>
      </c>
      <c r="AA6" s="202"/>
      <c r="AB6" s="202"/>
      <c r="AC6" s="204"/>
      <c r="AD6" s="202"/>
      <c r="AE6" s="202"/>
      <c r="AF6" s="202"/>
      <c r="AG6" s="202"/>
      <c r="AH6" s="202"/>
      <c r="AI6" s="203">
        <v>60</v>
      </c>
      <c r="AJ6" s="202"/>
      <c r="AK6" s="205">
        <v>0.217</v>
      </c>
      <c r="AL6" s="203" t="s">
        <v>517</v>
      </c>
      <c r="AM6" s="203">
        <v>30</v>
      </c>
      <c r="AN6" s="202"/>
      <c r="AO6" s="203">
        <v>1</v>
      </c>
      <c r="AP6" s="203">
        <v>1</v>
      </c>
      <c r="AQ6" s="202"/>
      <c r="AR6" s="202"/>
      <c r="AS6" s="69"/>
      <c r="AT6" s="60" t="s">
        <v>471</v>
      </c>
      <c r="AU6" s="71">
        <v>6</v>
      </c>
      <c r="AV6" s="71">
        <v>5</v>
      </c>
      <c r="AW6" s="71">
        <v>4.5</v>
      </c>
      <c r="AX6" s="71">
        <v>4</v>
      </c>
      <c r="AY6" s="71">
        <v>3.75</v>
      </c>
      <c r="AZ6" s="71">
        <v>3</v>
      </c>
      <c r="BA6" s="504" t="s">
        <v>518</v>
      </c>
      <c r="BB6" s="68"/>
      <c r="BC6" s="501">
        <v>0.25</v>
      </c>
      <c r="BD6" s="502" t="s">
        <v>528</v>
      </c>
      <c r="BE6" s="68"/>
      <c r="BF6" s="501">
        <v>0.25</v>
      </c>
      <c r="BG6" s="502" t="s">
        <v>528</v>
      </c>
      <c r="BH6" s="68"/>
      <c r="BI6" s="501">
        <v>0.25</v>
      </c>
      <c r="BJ6" s="502" t="s">
        <v>528</v>
      </c>
      <c r="BK6" s="68"/>
      <c r="BL6" s="501">
        <v>0.25</v>
      </c>
      <c r="BM6" s="502" t="s">
        <v>528</v>
      </c>
      <c r="BN6" s="68"/>
      <c r="BO6" s="501">
        <v>0.25</v>
      </c>
      <c r="BP6" s="502" t="s">
        <v>528</v>
      </c>
      <c r="BQ6" s="68"/>
      <c r="BR6" t="s">
        <v>529</v>
      </c>
      <c r="BS6" s="68"/>
      <c r="BT6" s="68"/>
      <c r="BU6" s="68"/>
    </row>
    <row r="7" spans="1:73" s="44" customFormat="1" ht="32.15" customHeight="1" x14ac:dyDescent="0.25">
      <c r="A7" s="66" t="s">
        <v>530</v>
      </c>
      <c r="B7" s="67" t="s">
        <v>531</v>
      </c>
      <c r="C7" s="84">
        <v>6.8000000000000005E-2</v>
      </c>
      <c r="D7" s="200"/>
      <c r="E7" s="200"/>
      <c r="F7" s="200"/>
      <c r="G7" s="201"/>
      <c r="H7" s="201"/>
      <c r="I7" s="202"/>
      <c r="J7" s="202"/>
      <c r="K7" s="202"/>
      <c r="L7" s="202"/>
      <c r="M7" s="202"/>
      <c r="N7" s="202"/>
      <c r="O7" s="202"/>
      <c r="P7" s="202"/>
      <c r="Q7" s="202"/>
      <c r="R7" s="202"/>
      <c r="S7" s="202"/>
      <c r="T7" s="202"/>
      <c r="U7" s="202"/>
      <c r="V7" s="202"/>
      <c r="W7" s="202"/>
      <c r="X7" s="202"/>
      <c r="Y7" s="202"/>
      <c r="Z7" s="202"/>
      <c r="AA7" s="202"/>
      <c r="AB7" s="202"/>
      <c r="AC7" s="204"/>
      <c r="AD7" s="202"/>
      <c r="AE7" s="202"/>
      <c r="AF7" s="202"/>
      <c r="AG7" s="202"/>
      <c r="AH7" s="202"/>
      <c r="AI7" s="202"/>
      <c r="AJ7" s="202"/>
      <c r="AK7" s="202"/>
      <c r="AL7" s="202"/>
      <c r="AM7" s="202"/>
      <c r="AN7" s="202"/>
      <c r="AO7" s="202"/>
      <c r="AP7" s="202"/>
      <c r="AQ7" s="202"/>
      <c r="AR7" s="202"/>
      <c r="AS7" s="69"/>
      <c r="AT7" s="60" t="s">
        <v>473</v>
      </c>
      <c r="AU7" s="70">
        <v>12</v>
      </c>
      <c r="AV7" s="70">
        <v>9</v>
      </c>
      <c r="AW7" s="70">
        <v>7.5</v>
      </c>
      <c r="AX7" s="70">
        <v>4.5</v>
      </c>
      <c r="AY7" s="70">
        <v>3.75</v>
      </c>
      <c r="AZ7" s="70">
        <v>3</v>
      </c>
      <c r="BA7" s="63" t="s">
        <v>532</v>
      </c>
      <c r="BB7" s="68"/>
      <c r="BC7" s="505">
        <f>IF(OR(PrecipOff="Precipitation zone 1",PrecipRet="Precipitation zone 1",PrecipInd="Precipitation zone 1",PrecipEdu="Precipitation zone 1"),0.4,0.35)</f>
        <v>0.35</v>
      </c>
      <c r="BD7" s="502" t="s">
        <v>533</v>
      </c>
      <c r="BE7" s="68"/>
      <c r="BF7" s="505">
        <f>IF(PrecipEdu="Precipitation zone 1",0.4,0.35)</f>
        <v>0.35</v>
      </c>
      <c r="BG7" s="502" t="s">
        <v>533</v>
      </c>
      <c r="BH7" s="68"/>
      <c r="BI7" s="505">
        <f>IF(PrecipInd="Precipitation zone 1",0.4,0.35)</f>
        <v>0.35</v>
      </c>
      <c r="BJ7" s="502" t="s">
        <v>533</v>
      </c>
      <c r="BK7" s="68"/>
      <c r="BL7" s="505">
        <f>IF(PrecipRet="Precipitation zone 1",0.4,0.35)</f>
        <v>0.35</v>
      </c>
      <c r="BM7" s="502" t="s">
        <v>533</v>
      </c>
      <c r="BN7" s="68"/>
      <c r="BO7" s="505">
        <f>IF(PrecipOff="Precipitation zone 1",0.4,0.35)</f>
        <v>0.35</v>
      </c>
      <c r="BP7" s="502" t="s">
        <v>533</v>
      </c>
      <c r="BQ7" s="68"/>
      <c r="BR7" t="s">
        <v>534</v>
      </c>
      <c r="BS7" s="68"/>
      <c r="BT7" s="68"/>
      <c r="BU7" s="68"/>
    </row>
    <row r="8" spans="1:73" s="44" customFormat="1" ht="32.15" customHeight="1" x14ac:dyDescent="0.25">
      <c r="A8" s="66" t="s">
        <v>535</v>
      </c>
      <c r="B8" s="67" t="s">
        <v>536</v>
      </c>
      <c r="C8" s="85">
        <v>0</v>
      </c>
      <c r="D8" s="200"/>
      <c r="E8" s="200"/>
      <c r="F8" s="200"/>
      <c r="G8" s="201"/>
      <c r="H8" s="201"/>
      <c r="I8" s="202"/>
      <c r="J8" s="202"/>
      <c r="K8" s="202"/>
      <c r="L8" s="202"/>
      <c r="M8" s="202"/>
      <c r="N8" s="206">
        <v>0.154</v>
      </c>
      <c r="O8" s="202"/>
      <c r="P8" s="202"/>
      <c r="Q8" s="202"/>
      <c r="R8" s="202"/>
      <c r="S8" s="202"/>
      <c r="T8" s="202"/>
      <c r="U8" s="202"/>
      <c r="V8" s="202"/>
      <c r="W8" s="202"/>
      <c r="X8" s="203">
        <v>0.05</v>
      </c>
      <c r="Y8" s="202"/>
      <c r="Z8" s="202"/>
      <c r="AA8" s="202"/>
      <c r="AB8" s="202"/>
      <c r="AC8" s="204"/>
      <c r="AD8" s="202"/>
      <c r="AE8" s="202"/>
      <c r="AF8" s="202"/>
      <c r="AG8" s="202"/>
      <c r="AH8" s="202"/>
      <c r="AI8" s="202"/>
      <c r="AJ8" s="202"/>
      <c r="AK8" s="202"/>
      <c r="AL8" s="202"/>
      <c r="AM8" s="202"/>
      <c r="AN8" s="202"/>
      <c r="AO8" s="202"/>
      <c r="AP8" s="202"/>
      <c r="AQ8" s="202"/>
      <c r="AR8" s="202"/>
      <c r="AS8" s="69"/>
      <c r="AT8" s="61" t="s">
        <v>537</v>
      </c>
      <c r="AU8" s="71">
        <v>14</v>
      </c>
      <c r="AV8" s="70">
        <v>10</v>
      </c>
      <c r="AW8" s="70">
        <v>8</v>
      </c>
      <c r="AX8" s="70">
        <v>6</v>
      </c>
      <c r="AY8" s="70">
        <v>4</v>
      </c>
      <c r="AZ8" s="70">
        <v>3.5</v>
      </c>
      <c r="BA8" s="63" t="s">
        <v>532</v>
      </c>
      <c r="BB8" s="68"/>
      <c r="BC8" s="501">
        <f>IF(OR(PrecipOff="Precipitation zone 2",PrecipRet="Precipitation zone 2",PrecipInd="Precipitation zone 2",PrecipEdu="Precipitation zone 2"),0.45,IF(OR(PrecipOff="Precipitation zone 3",PrecipRet="Precipitation zone 3",PrecipInd="Precipitation zone 3",PrecipEdu="Precipitation zone 3"),0.4,0.5))</f>
        <v>0.5</v>
      </c>
      <c r="BD8" s="502" t="s">
        <v>538</v>
      </c>
      <c r="BE8" s="68"/>
      <c r="BF8" s="501">
        <f>IF(PrecipEdu="Precipitation zone 2",0.45,IF(PrecipEdu="Precipitation zone 3",0.4,0.5))</f>
        <v>0.5</v>
      </c>
      <c r="BG8" s="502" t="s">
        <v>538</v>
      </c>
      <c r="BH8" s="68"/>
      <c r="BI8" s="501">
        <f>IF(PrecipInd="Precipitation zone 2",0.45,IF(PrecipInd="Precipitation zone 3",0.4,0.5))</f>
        <v>0.5</v>
      </c>
      <c r="BJ8" s="502" t="s">
        <v>538</v>
      </c>
      <c r="BK8" s="68"/>
      <c r="BL8" s="501">
        <f>IF(PrecipRet="Precipitation zone 2",0.45,IF(PrecipRet="Precipitation zone 3",0.4,0.5))</f>
        <v>0.5</v>
      </c>
      <c r="BM8" s="502" t="s">
        <v>538</v>
      </c>
      <c r="BN8" s="68"/>
      <c r="BO8" s="501">
        <f>IF(PrecipOff="Precipitation zone 2",0.45,IF(PrecipOff="Precipitation zone 3",0.4,0.5))</f>
        <v>0.5</v>
      </c>
      <c r="BP8" s="502" t="s">
        <v>538</v>
      </c>
      <c r="BQ8" s="68"/>
      <c r="BR8" t="s">
        <v>539</v>
      </c>
      <c r="BS8" s="68"/>
      <c r="BT8" s="68"/>
      <c r="BU8" s="68"/>
    </row>
    <row r="9" spans="1:73" ht="32.15" customHeight="1" x14ac:dyDescent="0.25">
      <c r="A9" s="194" t="s">
        <v>540</v>
      </c>
      <c r="B9" s="195" t="s">
        <v>541</v>
      </c>
      <c r="C9" s="196" t="s">
        <v>515</v>
      </c>
      <c r="D9" s="196">
        <v>365</v>
      </c>
      <c r="E9" s="196">
        <v>24</v>
      </c>
      <c r="F9" s="196" t="s">
        <v>516</v>
      </c>
      <c r="G9" s="197">
        <v>0.5</v>
      </c>
      <c r="H9" s="197">
        <v>0.5</v>
      </c>
      <c r="I9" s="198">
        <v>1</v>
      </c>
      <c r="J9" s="198">
        <v>4</v>
      </c>
      <c r="K9" s="198">
        <v>4</v>
      </c>
      <c r="L9" s="198">
        <v>3</v>
      </c>
      <c r="M9" s="198">
        <v>4</v>
      </c>
      <c r="N9" s="198">
        <v>0.03</v>
      </c>
      <c r="O9" s="198" t="s">
        <v>517</v>
      </c>
      <c r="P9" s="198" t="s">
        <v>517</v>
      </c>
      <c r="Q9" s="198" t="s">
        <v>517</v>
      </c>
      <c r="R9" s="198" t="s">
        <v>515</v>
      </c>
      <c r="S9" s="198" t="s">
        <v>515</v>
      </c>
      <c r="T9" s="198" t="s">
        <v>515</v>
      </c>
      <c r="U9" s="198" t="s">
        <v>515</v>
      </c>
      <c r="V9" s="198" t="s">
        <v>517</v>
      </c>
      <c r="W9" s="198" t="s">
        <v>515</v>
      </c>
      <c r="X9" s="198">
        <v>1.58</v>
      </c>
      <c r="Y9" s="198" t="s">
        <v>515</v>
      </c>
      <c r="Z9" s="198" t="s">
        <v>515</v>
      </c>
      <c r="AA9" s="198">
        <v>1</v>
      </c>
      <c r="AB9" s="198">
        <v>1</v>
      </c>
      <c r="AC9" s="199">
        <v>0.25</v>
      </c>
      <c r="AD9" s="198">
        <v>5.6</v>
      </c>
      <c r="AE9" s="198">
        <v>4.37</v>
      </c>
      <c r="AF9" s="198">
        <v>1</v>
      </c>
      <c r="AG9" s="198">
        <v>1</v>
      </c>
      <c r="AH9" s="198" t="s">
        <v>515</v>
      </c>
      <c r="AI9" s="198" t="s">
        <v>515</v>
      </c>
      <c r="AJ9" s="198" t="s">
        <v>515</v>
      </c>
      <c r="AK9" s="198" t="s">
        <v>515</v>
      </c>
      <c r="AL9" s="198" t="s">
        <v>515</v>
      </c>
      <c r="AM9" s="198" t="s">
        <v>515</v>
      </c>
      <c r="AN9" s="198">
        <v>1</v>
      </c>
      <c r="AO9" s="198" t="s">
        <v>515</v>
      </c>
      <c r="AP9" s="198" t="s">
        <v>515</v>
      </c>
      <c r="AQ9" s="197">
        <v>0.4</v>
      </c>
      <c r="AR9" s="199">
        <v>0.67700000000000005</v>
      </c>
      <c r="AS9" s="22"/>
      <c r="AT9" s="61" t="s">
        <v>497</v>
      </c>
      <c r="AU9" s="71">
        <v>200</v>
      </c>
      <c r="AV9" s="70">
        <v>180</v>
      </c>
      <c r="AW9" s="70">
        <v>160</v>
      </c>
      <c r="AX9" s="70">
        <v>140</v>
      </c>
      <c r="AY9" s="64">
        <v>120</v>
      </c>
      <c r="AZ9" s="70">
        <v>100</v>
      </c>
      <c r="BA9" s="63" t="s">
        <v>542</v>
      </c>
      <c r="BC9" s="501">
        <f>IF(OR(PrecipOff="Precipitation zone 3",PrecipRet="Precipitation zone 3",PrecipInd="Precipitation zone 3",PrecipEdu="Precipitation zone 3"),0.5,0.55)</f>
        <v>0.55000000000000004</v>
      </c>
      <c r="BD9" s="502" t="s">
        <v>543</v>
      </c>
      <c r="BF9" s="501">
        <f>IF(PrecipEdu="Precipitation zone 3",0.5,0.55)</f>
        <v>0.55000000000000004</v>
      </c>
      <c r="BG9" s="502" t="s">
        <v>543</v>
      </c>
      <c r="BI9" s="501">
        <f>IF(PrecipInd="Precipitation zone 3",0.5,0.55)</f>
        <v>0.55000000000000004</v>
      </c>
      <c r="BJ9" s="502" t="s">
        <v>543</v>
      </c>
      <c r="BL9" s="501">
        <f>IF(PrecipRet="Precipitation zone 3",0.5,0.55)</f>
        <v>0.55000000000000004</v>
      </c>
      <c r="BM9" s="502" t="s">
        <v>543</v>
      </c>
      <c r="BO9" s="501">
        <f>IF(PrecipOff="Precipitation zone 3",0.5,0.55)</f>
        <v>0.55000000000000004</v>
      </c>
      <c r="BP9" s="502" t="s">
        <v>543</v>
      </c>
      <c r="BQ9" s="506"/>
      <c r="BR9" t="s">
        <v>544</v>
      </c>
    </row>
    <row r="10" spans="1:73" s="68" customFormat="1" ht="32.15" customHeight="1" x14ac:dyDescent="0.25">
      <c r="A10" s="194" t="s">
        <v>545</v>
      </c>
      <c r="B10" s="195" t="s">
        <v>541</v>
      </c>
      <c r="C10" s="196" t="s">
        <v>515</v>
      </c>
      <c r="D10" s="196">
        <v>253</v>
      </c>
      <c r="E10" s="196">
        <v>10</v>
      </c>
      <c r="F10" s="196" t="s">
        <v>516</v>
      </c>
      <c r="G10" s="197">
        <v>0.5</v>
      </c>
      <c r="H10" s="197">
        <v>0.5</v>
      </c>
      <c r="I10" s="198">
        <v>1</v>
      </c>
      <c r="J10" s="198">
        <v>4</v>
      </c>
      <c r="K10" s="198">
        <v>4</v>
      </c>
      <c r="L10" s="198">
        <v>3</v>
      </c>
      <c r="M10" s="198">
        <v>4</v>
      </c>
      <c r="N10" s="198">
        <v>0.03</v>
      </c>
      <c r="O10" s="198" t="s">
        <v>517</v>
      </c>
      <c r="P10" s="198" t="s">
        <v>517</v>
      </c>
      <c r="Q10" s="198" t="s">
        <v>517</v>
      </c>
      <c r="R10" s="198" t="s">
        <v>515</v>
      </c>
      <c r="S10" s="198" t="s">
        <v>515</v>
      </c>
      <c r="T10" s="198" t="s">
        <v>515</v>
      </c>
      <c r="U10" s="198" t="s">
        <v>515</v>
      </c>
      <c r="V10" s="198" t="s">
        <v>517</v>
      </c>
      <c r="W10" s="198" t="s">
        <v>515</v>
      </c>
      <c r="X10" s="198">
        <v>1.58</v>
      </c>
      <c r="Y10" s="198" t="s">
        <v>515</v>
      </c>
      <c r="Z10" s="198" t="s">
        <v>515</v>
      </c>
      <c r="AA10" s="198">
        <v>1</v>
      </c>
      <c r="AB10" s="198">
        <v>1</v>
      </c>
      <c r="AC10" s="199">
        <v>0.25</v>
      </c>
      <c r="AD10" s="198">
        <v>5.6</v>
      </c>
      <c r="AE10" s="198">
        <v>4.37</v>
      </c>
      <c r="AF10" s="198">
        <v>1</v>
      </c>
      <c r="AG10" s="198">
        <v>1</v>
      </c>
      <c r="AH10" s="198" t="s">
        <v>515</v>
      </c>
      <c r="AI10" s="198" t="s">
        <v>515</v>
      </c>
      <c r="AJ10" s="198" t="s">
        <v>515</v>
      </c>
      <c r="AK10" s="198" t="s">
        <v>515</v>
      </c>
      <c r="AL10" s="198" t="s">
        <v>515</v>
      </c>
      <c r="AM10" s="198" t="s">
        <v>515</v>
      </c>
      <c r="AN10" s="198">
        <v>1</v>
      </c>
      <c r="AO10" s="198" t="s">
        <v>515</v>
      </c>
      <c r="AP10" s="198" t="s">
        <v>515</v>
      </c>
      <c r="AQ10" s="197">
        <v>0.4</v>
      </c>
      <c r="AR10" s="199">
        <v>0.67700000000000005</v>
      </c>
      <c r="AS10" s="69"/>
      <c r="AT10" s="285" t="s">
        <v>546</v>
      </c>
      <c r="AU10" s="70">
        <v>7.5</v>
      </c>
      <c r="AV10" s="70">
        <v>6</v>
      </c>
      <c r="AW10" s="71">
        <v>3</v>
      </c>
      <c r="AX10" s="71">
        <v>1.5</v>
      </c>
      <c r="AY10" s="71">
        <v>0.75</v>
      </c>
      <c r="AZ10" s="70">
        <v>0</v>
      </c>
      <c r="BA10" s="63" t="s">
        <v>547</v>
      </c>
      <c r="BC10" s="501">
        <f>IF(OR(PrecipOff="Precipitation zone 3",PrecipRet="Precipitation zone 3",PrecipInd="Precipitation zone 3",PrecipEdu="Precipitation zone 3"),0.6,0.65)</f>
        <v>0.65</v>
      </c>
      <c r="BD10" s="502" t="s">
        <v>548</v>
      </c>
      <c r="BF10" s="501">
        <f>IF(PrecipEdu="Precipitation zone 3",0.6,0.65)</f>
        <v>0.65</v>
      </c>
      <c r="BG10" s="502" t="s">
        <v>548</v>
      </c>
      <c r="BI10" s="501">
        <f>IF(PrecipInd="Precipitation zone 3",0.6,0.65)</f>
        <v>0.65</v>
      </c>
      <c r="BJ10" s="502" t="s">
        <v>548</v>
      </c>
      <c r="BL10" s="501">
        <f>IF(PrecipRet="Precipitation zone 3",0.6,0.65)</f>
        <v>0.65</v>
      </c>
      <c r="BM10" s="502" t="s">
        <v>548</v>
      </c>
      <c r="BO10" s="501">
        <f>IF(PrecipOff="Precipitation zone 3",0.6,0.65)</f>
        <v>0.65</v>
      </c>
      <c r="BP10" s="502" t="s">
        <v>548</v>
      </c>
      <c r="BR10" t="s">
        <v>549</v>
      </c>
    </row>
    <row r="11" spans="1:73" s="68" customFormat="1" ht="32.15" customHeight="1" x14ac:dyDescent="0.25">
      <c r="A11" s="82" t="s">
        <v>550</v>
      </c>
      <c r="B11" s="67" t="s">
        <v>551</v>
      </c>
      <c r="C11" s="83">
        <v>2.24E-2</v>
      </c>
      <c r="D11" s="207"/>
      <c r="E11" s="207"/>
      <c r="F11" s="207"/>
      <c r="G11" s="208"/>
      <c r="H11" s="208"/>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69"/>
      <c r="AT11" s="285" t="s">
        <v>552</v>
      </c>
      <c r="AU11" s="70">
        <v>10</v>
      </c>
      <c r="AV11" s="70">
        <v>8</v>
      </c>
      <c r="AW11" s="70">
        <v>4</v>
      </c>
      <c r="AX11" s="70">
        <v>2</v>
      </c>
      <c r="AY11" s="70">
        <v>1</v>
      </c>
      <c r="AZ11" s="70">
        <v>0</v>
      </c>
      <c r="BA11" s="63" t="s">
        <v>547</v>
      </c>
      <c r="BC11" s="501">
        <f>IF(OR(PrecipOff="Precipitation zone 3",PrecipRet="Precipitation zone 3",PrecipInd="Precipitation zone 3",PrecipEdu="Precipitation zone 3"),0.5,0.55)</f>
        <v>0.55000000000000004</v>
      </c>
      <c r="BD11" s="502" t="s">
        <v>543</v>
      </c>
      <c r="BF11" s="501">
        <f>IF(PrecipEdu="Precipitation zone 3",0.5,0.55)</f>
        <v>0.55000000000000004</v>
      </c>
      <c r="BG11" s="502" t="s">
        <v>543</v>
      </c>
      <c r="BI11" s="501">
        <f>IF(PrecipInd="Precipitation zone 3",0.5,0.55)</f>
        <v>0.55000000000000004</v>
      </c>
      <c r="BJ11" s="502" t="s">
        <v>543</v>
      </c>
      <c r="BL11" s="501">
        <f>IF(PrecipRet="Precipitation zone 3",0.5,0.55)</f>
        <v>0.55000000000000004</v>
      </c>
      <c r="BM11" s="502" t="s">
        <v>543</v>
      </c>
      <c r="BO11" s="501">
        <f>IF(PrecipOff="Precipitation zone 3",0.5,0.55)</f>
        <v>0.55000000000000004</v>
      </c>
      <c r="BP11" s="502" t="s">
        <v>543</v>
      </c>
      <c r="BR11" t="s">
        <v>553</v>
      </c>
    </row>
    <row r="12" spans="1:73" s="68" customFormat="1" ht="38.25" customHeight="1" x14ac:dyDescent="0.25">
      <c r="A12" s="82" t="s">
        <v>554</v>
      </c>
      <c r="B12" s="67" t="s">
        <v>555</v>
      </c>
      <c r="C12" s="83">
        <v>0.1069</v>
      </c>
      <c r="D12" s="207"/>
      <c r="E12" s="207"/>
      <c r="F12" s="207"/>
      <c r="G12" s="208"/>
      <c r="H12" s="208"/>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69"/>
      <c r="AT12" s="285" t="s">
        <v>556</v>
      </c>
      <c r="AU12" s="84">
        <v>1.5</v>
      </c>
      <c r="AV12" s="84" t="s">
        <v>515</v>
      </c>
      <c r="AW12" s="84" t="s">
        <v>515</v>
      </c>
      <c r="AX12" s="84" t="s">
        <v>515</v>
      </c>
      <c r="AY12" s="84" t="s">
        <v>515</v>
      </c>
      <c r="AZ12" s="84" t="s">
        <v>515</v>
      </c>
      <c r="BA12" s="286" t="s">
        <v>557</v>
      </c>
      <c r="BO12" s="49"/>
      <c r="BP12" s="46"/>
      <c r="BR12" t="s">
        <v>558</v>
      </c>
    </row>
    <row r="13" spans="1:73" s="68" customFormat="1" ht="32.15" customHeight="1" x14ac:dyDescent="0.25">
      <c r="A13" s="82" t="s">
        <v>559</v>
      </c>
      <c r="B13" s="82" t="s">
        <v>560</v>
      </c>
      <c r="C13" s="83">
        <v>1.0800000000000001E-2</v>
      </c>
      <c r="D13" s="207"/>
      <c r="E13" s="207"/>
      <c r="F13" s="207"/>
      <c r="G13" s="208"/>
      <c r="H13" s="208"/>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69"/>
      <c r="AT13" s="61" t="s">
        <v>561</v>
      </c>
      <c r="AU13" s="72">
        <v>0</v>
      </c>
      <c r="AV13" s="72">
        <v>0</v>
      </c>
      <c r="AW13" s="72">
        <v>0</v>
      </c>
      <c r="AX13" s="72">
        <v>0.25</v>
      </c>
      <c r="AY13" s="73">
        <v>0.5</v>
      </c>
      <c r="AZ13" s="73">
        <v>0.75</v>
      </c>
      <c r="BA13" s="63" t="s">
        <v>562</v>
      </c>
      <c r="BO13" s="45"/>
      <c r="BP13" s="45"/>
      <c r="BR13" t="s">
        <v>563</v>
      </c>
    </row>
    <row r="14" spans="1:73" s="68" customFormat="1" ht="32.15" customHeight="1" x14ac:dyDescent="0.25">
      <c r="A14" s="67" t="s">
        <v>564</v>
      </c>
      <c r="B14" s="67" t="s">
        <v>522</v>
      </c>
      <c r="C14" s="83">
        <v>9.9400000000000002E-2</v>
      </c>
      <c r="D14" s="207"/>
      <c r="E14" s="207"/>
      <c r="F14" s="207"/>
      <c r="G14" s="208"/>
      <c r="H14" s="208"/>
      <c r="I14" s="209"/>
      <c r="J14" s="209"/>
      <c r="K14" s="209"/>
      <c r="L14" s="209"/>
      <c r="M14" s="209"/>
      <c r="N14" s="209"/>
      <c r="O14" s="209"/>
      <c r="P14" s="209"/>
      <c r="Q14" s="209"/>
      <c r="R14" s="203">
        <v>1</v>
      </c>
      <c r="S14" s="209"/>
      <c r="T14" s="209"/>
      <c r="U14" s="203">
        <v>0.04</v>
      </c>
      <c r="V14" s="210"/>
      <c r="W14" s="209"/>
      <c r="X14" s="209"/>
      <c r="Y14" s="209"/>
      <c r="Z14" s="209"/>
      <c r="AA14" s="209"/>
      <c r="AB14" s="209"/>
      <c r="AC14" s="209"/>
      <c r="AD14" s="209"/>
      <c r="AE14" s="209"/>
      <c r="AF14" s="209"/>
      <c r="AG14" s="209"/>
      <c r="AH14" s="203">
        <v>0.67</v>
      </c>
      <c r="AI14" s="209"/>
      <c r="AJ14" s="209"/>
      <c r="AK14" s="203">
        <v>1</v>
      </c>
      <c r="AL14" s="203" t="s">
        <v>517</v>
      </c>
      <c r="AM14" s="209"/>
      <c r="AN14" s="209"/>
      <c r="AO14" s="209"/>
      <c r="AP14" s="209"/>
      <c r="AQ14" s="209"/>
      <c r="AR14" s="209"/>
      <c r="AS14" s="69"/>
      <c r="AT14" s="60" t="s">
        <v>478</v>
      </c>
      <c r="AU14" s="71">
        <v>12</v>
      </c>
      <c r="AV14" s="70">
        <v>10</v>
      </c>
      <c r="AW14" s="70">
        <v>7.5</v>
      </c>
      <c r="AX14" s="70">
        <v>5</v>
      </c>
      <c r="AY14" s="70">
        <v>5</v>
      </c>
      <c r="AZ14" s="70">
        <v>5</v>
      </c>
      <c r="BA14" s="63" t="s">
        <v>532</v>
      </c>
      <c r="BO14" s="45"/>
      <c r="BP14" s="45"/>
      <c r="BR14" s="506" t="s">
        <v>565</v>
      </c>
    </row>
    <row r="15" spans="1:73" s="68" customFormat="1" ht="40.5" customHeight="1" x14ac:dyDescent="0.25">
      <c r="A15" s="67" t="s">
        <v>566</v>
      </c>
      <c r="B15" s="67" t="s">
        <v>526</v>
      </c>
      <c r="C15" s="84">
        <f>0.0402</f>
        <v>4.02E-2</v>
      </c>
      <c r="D15" s="207"/>
      <c r="E15" s="207"/>
      <c r="F15" s="207"/>
      <c r="G15" s="208"/>
      <c r="H15" s="208"/>
      <c r="I15" s="209"/>
      <c r="J15" s="209"/>
      <c r="K15" s="209"/>
      <c r="L15" s="209"/>
      <c r="M15" s="209"/>
      <c r="N15" s="209"/>
      <c r="O15" s="209"/>
      <c r="P15" s="209"/>
      <c r="Q15" s="209"/>
      <c r="R15" s="209"/>
      <c r="S15" s="203" t="s">
        <v>527</v>
      </c>
      <c r="T15" s="209"/>
      <c r="U15" s="203" t="s">
        <v>527</v>
      </c>
      <c r="V15" s="202" t="s">
        <v>517</v>
      </c>
      <c r="W15" s="203" t="s">
        <v>527</v>
      </c>
      <c r="X15" s="209"/>
      <c r="Y15" s="203" t="str">
        <f>IF(AND('Industrial calculator'!F20='Industrial calculator'!Q130,Ind_act='Industrial calculator'!R135,'Industrial calculator'!G22='Industrial calculator'!Q130),'Industrial calculator'!G20*'Industrial calculator'!G14*0.804*2.674,IF('Industrial calculator'!F20="yes",'Industrial calculator'!G20*0.804*2.674,"see note"))</f>
        <v>see note</v>
      </c>
      <c r="Z15" s="203" t="str">
        <f>IF('Industrial calculator'!F20="yes",'Industrial calculator'!G20*6.314*0.804,"See note")</f>
        <v>See note</v>
      </c>
      <c r="AA15" s="209"/>
      <c r="AB15" s="209"/>
      <c r="AC15" s="209"/>
      <c r="AD15" s="209"/>
      <c r="AE15" s="209"/>
      <c r="AF15" s="209"/>
      <c r="AG15" s="209"/>
      <c r="AH15" s="209"/>
      <c r="AI15" s="203">
        <v>60</v>
      </c>
      <c r="AJ15" s="209"/>
      <c r="AK15" s="205">
        <v>0.20100000000000001</v>
      </c>
      <c r="AL15" s="203" t="s">
        <v>517</v>
      </c>
      <c r="AM15" s="203">
        <v>30</v>
      </c>
      <c r="AN15" s="209"/>
      <c r="AO15" s="203">
        <v>1</v>
      </c>
      <c r="AP15" s="203">
        <v>1</v>
      </c>
      <c r="AQ15" s="209"/>
      <c r="AR15" s="209"/>
      <c r="AS15" s="69"/>
      <c r="AT15" s="60" t="s">
        <v>479</v>
      </c>
      <c r="AU15" s="70">
        <v>10.3</v>
      </c>
      <c r="AV15" s="70">
        <v>9.3000000000000007</v>
      </c>
      <c r="AW15" s="70">
        <v>8.3000000000000007</v>
      </c>
      <c r="AX15" s="70">
        <v>7.3</v>
      </c>
      <c r="AY15" s="70">
        <v>6.3</v>
      </c>
      <c r="AZ15" s="70">
        <v>6</v>
      </c>
      <c r="BA15" s="63" t="s">
        <v>532</v>
      </c>
      <c r="BO15" s="45"/>
      <c r="BP15" s="46"/>
      <c r="BR15" t="s">
        <v>567</v>
      </c>
    </row>
    <row r="16" spans="1:73" s="68" customFormat="1" ht="32.15" customHeight="1" x14ac:dyDescent="0.25">
      <c r="A16" s="66" t="s">
        <v>568</v>
      </c>
      <c r="B16" s="67" t="s">
        <v>536</v>
      </c>
      <c r="C16" s="85">
        <v>0</v>
      </c>
      <c r="D16" s="207"/>
      <c r="E16" s="207"/>
      <c r="F16" s="207"/>
      <c r="G16" s="208"/>
      <c r="H16" s="208"/>
      <c r="I16" s="209"/>
      <c r="J16" s="209"/>
      <c r="K16" s="209"/>
      <c r="L16" s="209"/>
      <c r="M16" s="209"/>
      <c r="N16" s="206">
        <v>0.154</v>
      </c>
      <c r="O16" s="209"/>
      <c r="P16" s="209"/>
      <c r="Q16" s="209"/>
      <c r="R16" s="209"/>
      <c r="S16" s="209"/>
      <c r="T16" s="209"/>
      <c r="U16" s="209"/>
      <c r="V16" s="209"/>
      <c r="W16" s="209"/>
      <c r="X16" s="203">
        <v>0.05</v>
      </c>
      <c r="Y16" s="209"/>
      <c r="Z16" s="209"/>
      <c r="AA16" s="209"/>
      <c r="AB16" s="209"/>
      <c r="AC16" s="209"/>
      <c r="AD16" s="209"/>
      <c r="AE16" s="209"/>
      <c r="AF16" s="209"/>
      <c r="AG16" s="209"/>
      <c r="AH16" s="209"/>
      <c r="AI16" s="209"/>
      <c r="AJ16" s="209"/>
      <c r="AK16" s="209"/>
      <c r="AL16" s="209"/>
      <c r="AM16" s="209"/>
      <c r="AN16" s="209"/>
      <c r="AO16" s="209"/>
      <c r="AP16" s="209"/>
      <c r="AQ16" s="209"/>
      <c r="AR16" s="209"/>
      <c r="AS16" s="69"/>
      <c r="AT16" s="61" t="s">
        <v>569</v>
      </c>
      <c r="AU16" s="71">
        <v>17</v>
      </c>
      <c r="AV16" s="70">
        <v>13</v>
      </c>
      <c r="AW16" s="70">
        <v>13</v>
      </c>
      <c r="AX16" s="70">
        <v>12</v>
      </c>
      <c r="AY16" s="70">
        <v>11</v>
      </c>
      <c r="AZ16" s="70">
        <v>10</v>
      </c>
      <c r="BA16" s="63" t="s">
        <v>570</v>
      </c>
      <c r="BO16" s="45"/>
      <c r="BP16" s="46"/>
      <c r="BR16" t="s">
        <v>571</v>
      </c>
    </row>
    <row r="17" spans="1:73" ht="32.15" customHeight="1" x14ac:dyDescent="0.25">
      <c r="A17" s="194" t="s">
        <v>572</v>
      </c>
      <c r="B17" s="195" t="s">
        <v>573</v>
      </c>
      <c r="C17" s="196" t="s">
        <v>515</v>
      </c>
      <c r="D17" s="196">
        <v>195</v>
      </c>
      <c r="E17" s="196">
        <v>10</v>
      </c>
      <c r="F17" s="267" t="s">
        <v>574</v>
      </c>
      <c r="G17" s="197">
        <v>0.5</v>
      </c>
      <c r="H17" s="197">
        <v>0.5</v>
      </c>
      <c r="I17" s="198">
        <v>0.36</v>
      </c>
      <c r="J17" s="198">
        <v>2.1</v>
      </c>
      <c r="K17" s="198">
        <v>2.1</v>
      </c>
      <c r="L17" s="198">
        <v>1.74</v>
      </c>
      <c r="M17" s="198">
        <v>2.1</v>
      </c>
      <c r="N17" s="199">
        <f>IF('Education calculator'!F20='Education calculator'!Q131,0.4,0.0014)</f>
        <v>1.4E-3</v>
      </c>
      <c r="O17" s="198" t="s">
        <v>517</v>
      </c>
      <c r="P17" s="198" t="s">
        <v>517</v>
      </c>
      <c r="Q17" s="198" t="s">
        <v>517</v>
      </c>
      <c r="R17" s="199">
        <v>0.05</v>
      </c>
      <c r="S17" s="198" t="s">
        <v>515</v>
      </c>
      <c r="T17" s="198" t="s">
        <v>515</v>
      </c>
      <c r="U17" s="198" t="s">
        <v>515</v>
      </c>
      <c r="V17" s="198" t="s">
        <v>517</v>
      </c>
      <c r="W17" s="198" t="s">
        <v>515</v>
      </c>
      <c r="X17" s="198">
        <v>1.98</v>
      </c>
      <c r="Y17" s="198" t="s">
        <v>515</v>
      </c>
      <c r="Z17" s="198" t="s">
        <v>515</v>
      </c>
      <c r="AA17" s="198">
        <v>1</v>
      </c>
      <c r="AB17" s="198">
        <v>1</v>
      </c>
      <c r="AC17" s="199">
        <v>0.25</v>
      </c>
      <c r="AD17" s="198">
        <f>IF('Education calculator'!F20='Education calculator'!Q131,1.4,5.6)</f>
        <v>5.6</v>
      </c>
      <c r="AE17" s="198" t="s">
        <v>517</v>
      </c>
      <c r="AF17" s="198">
        <v>1</v>
      </c>
      <c r="AG17" s="198">
        <v>1</v>
      </c>
      <c r="AH17" s="198" t="s">
        <v>515</v>
      </c>
      <c r="AI17" s="198" t="s">
        <v>515</v>
      </c>
      <c r="AJ17" s="198" t="s">
        <v>515</v>
      </c>
      <c r="AK17" s="198" t="s">
        <v>515</v>
      </c>
      <c r="AL17" s="198" t="s">
        <v>515</v>
      </c>
      <c r="AM17" s="198" t="s">
        <v>515</v>
      </c>
      <c r="AN17" s="198">
        <v>1</v>
      </c>
      <c r="AO17" s="198" t="s">
        <v>515</v>
      </c>
      <c r="AP17" s="198" t="s">
        <v>515</v>
      </c>
      <c r="AQ17" s="197">
        <v>0.4</v>
      </c>
      <c r="AR17" s="199">
        <v>0.67700000000000005</v>
      </c>
      <c r="AS17" s="22"/>
      <c r="AT17" s="62" t="s">
        <v>575</v>
      </c>
      <c r="AU17" s="74">
        <v>90</v>
      </c>
      <c r="AV17" s="75">
        <v>60</v>
      </c>
      <c r="AW17" s="76">
        <v>50</v>
      </c>
      <c r="AX17" s="75">
        <v>40</v>
      </c>
      <c r="AY17" s="64">
        <v>35</v>
      </c>
      <c r="AZ17" s="64">
        <v>30</v>
      </c>
      <c r="BA17" s="77" t="s">
        <v>576</v>
      </c>
      <c r="BB17" s="22"/>
      <c r="BC17" s="22"/>
      <c r="BD17" s="22"/>
      <c r="BE17" s="22"/>
      <c r="BF17" s="22"/>
      <c r="BG17" s="22"/>
      <c r="BH17" s="22"/>
      <c r="BI17" s="22"/>
      <c r="BJ17" s="22"/>
      <c r="BK17" s="22"/>
      <c r="BL17" s="22"/>
      <c r="BM17" s="22"/>
      <c r="BN17" s="22"/>
      <c r="BQ17" s="506"/>
      <c r="BR17" t="s">
        <v>577</v>
      </c>
    </row>
    <row r="18" spans="1:73" ht="32.15" customHeight="1" x14ac:dyDescent="0.25">
      <c r="A18" s="194" t="s">
        <v>578</v>
      </c>
      <c r="B18" s="195" t="s">
        <v>579</v>
      </c>
      <c r="C18" s="196" t="s">
        <v>515</v>
      </c>
      <c r="D18" s="196">
        <v>195</v>
      </c>
      <c r="E18" s="196">
        <v>10</v>
      </c>
      <c r="F18" s="267" t="s">
        <v>574</v>
      </c>
      <c r="G18" s="197">
        <v>0.5</v>
      </c>
      <c r="H18" s="197">
        <v>0.5</v>
      </c>
      <c r="I18" s="198">
        <v>0.37</v>
      </c>
      <c r="J18" s="198">
        <v>2.13</v>
      </c>
      <c r="K18" s="198">
        <v>2.1</v>
      </c>
      <c r="L18" s="198">
        <v>1.76</v>
      </c>
      <c r="M18" s="198">
        <v>2.13</v>
      </c>
      <c r="N18" s="199">
        <f>IF('Education calculator'!F20='Education calculator'!Q131,0.4,0.002)</f>
        <v>2E-3</v>
      </c>
      <c r="O18" s="198" t="s">
        <v>517</v>
      </c>
      <c r="P18" s="198" t="s">
        <v>517</v>
      </c>
      <c r="Q18" s="198" t="s">
        <v>517</v>
      </c>
      <c r="R18" s="199">
        <v>0.06</v>
      </c>
      <c r="S18" s="198" t="s">
        <v>515</v>
      </c>
      <c r="T18" s="198" t="s">
        <v>515</v>
      </c>
      <c r="U18" s="198" t="s">
        <v>515</v>
      </c>
      <c r="V18" s="198" t="s">
        <v>517</v>
      </c>
      <c r="W18" s="198" t="s">
        <v>515</v>
      </c>
      <c r="X18" s="198">
        <v>1.97</v>
      </c>
      <c r="Y18" s="198" t="s">
        <v>515</v>
      </c>
      <c r="Z18" s="198" t="s">
        <v>515</v>
      </c>
      <c r="AA18" s="198">
        <v>1</v>
      </c>
      <c r="AB18" s="198">
        <v>1</v>
      </c>
      <c r="AC18" s="199">
        <v>0.25</v>
      </c>
      <c r="AD18" s="198">
        <f>IF('Education calculator'!F20='Education calculator'!Q131,1.2,5.6)</f>
        <v>5.6</v>
      </c>
      <c r="AE18" s="198">
        <v>1.4</v>
      </c>
      <c r="AF18" s="198">
        <v>1</v>
      </c>
      <c r="AG18" s="198">
        <v>1</v>
      </c>
      <c r="AH18" s="198" t="s">
        <v>515</v>
      </c>
      <c r="AI18" s="198" t="s">
        <v>515</v>
      </c>
      <c r="AJ18" s="198" t="s">
        <v>515</v>
      </c>
      <c r="AK18" s="198" t="s">
        <v>515</v>
      </c>
      <c r="AL18" s="198" t="s">
        <v>515</v>
      </c>
      <c r="AM18" s="198" t="s">
        <v>515</v>
      </c>
      <c r="AN18" s="198">
        <v>1</v>
      </c>
      <c r="AO18" s="198" t="s">
        <v>515</v>
      </c>
      <c r="AP18" s="198" t="s">
        <v>515</v>
      </c>
      <c r="AQ18" s="197">
        <v>0.4</v>
      </c>
      <c r="AR18" s="199">
        <v>0.67700000000000005</v>
      </c>
      <c r="AS18" s="22"/>
      <c r="AT18" s="60" t="str">
        <f>W3</f>
        <v>Waste disposal unit</v>
      </c>
      <c r="AU18" s="70">
        <v>17</v>
      </c>
      <c r="AV18" s="70">
        <v>17</v>
      </c>
      <c r="AW18" s="70">
        <v>0</v>
      </c>
      <c r="AX18" s="70">
        <v>0</v>
      </c>
      <c r="AY18" s="70">
        <v>0</v>
      </c>
      <c r="AZ18" s="70">
        <v>0</v>
      </c>
      <c r="BA18" s="63" t="s">
        <v>532</v>
      </c>
      <c r="BB18" s="22"/>
      <c r="BC18" s="22"/>
      <c r="BD18" s="22"/>
      <c r="BE18" s="22"/>
      <c r="BF18" s="22"/>
      <c r="BG18" s="22"/>
      <c r="BH18" s="22"/>
      <c r="BI18" s="22"/>
      <c r="BJ18" s="22"/>
      <c r="BK18" s="22"/>
      <c r="BL18" s="22"/>
      <c r="BM18" s="22"/>
      <c r="BN18" s="22"/>
      <c r="BQ18" s="506"/>
      <c r="BR18" t="s">
        <v>580</v>
      </c>
    </row>
    <row r="19" spans="1:73" ht="32.15" customHeight="1" x14ac:dyDescent="0.25">
      <c r="A19" s="194" t="s">
        <v>581</v>
      </c>
      <c r="B19" s="195" t="s">
        <v>582</v>
      </c>
      <c r="C19" s="196" t="s">
        <v>515</v>
      </c>
      <c r="D19" s="196">
        <v>195</v>
      </c>
      <c r="E19" s="196">
        <v>10</v>
      </c>
      <c r="F19" s="267" t="s">
        <v>583</v>
      </c>
      <c r="G19" s="197">
        <v>0.5</v>
      </c>
      <c r="H19" s="197">
        <v>0.5</v>
      </c>
      <c r="I19" s="198">
        <v>1</v>
      </c>
      <c r="J19" s="198">
        <v>4</v>
      </c>
      <c r="K19" s="198">
        <v>4</v>
      </c>
      <c r="L19" s="198">
        <v>3</v>
      </c>
      <c r="M19" s="198">
        <v>4</v>
      </c>
      <c r="N19" s="199">
        <f>IF('Education calculator'!F20='Education calculator'!Q131,'Activity database'!N8,'Activity database'!N4)</f>
        <v>0.03</v>
      </c>
      <c r="O19" s="198" t="s">
        <v>517</v>
      </c>
      <c r="P19" s="198" t="s">
        <v>517</v>
      </c>
      <c r="Q19" s="198" t="s">
        <v>517</v>
      </c>
      <c r="R19" s="199">
        <v>5.0999999999999997E-2</v>
      </c>
      <c r="S19" s="198" t="s">
        <v>515</v>
      </c>
      <c r="T19" s="198" t="s">
        <v>515</v>
      </c>
      <c r="U19" s="198" t="s">
        <v>515</v>
      </c>
      <c r="V19" s="198" t="s">
        <v>517</v>
      </c>
      <c r="W19" s="198" t="s">
        <v>515</v>
      </c>
      <c r="X19" s="198">
        <v>1.58</v>
      </c>
      <c r="Y19" s="198" t="s">
        <v>515</v>
      </c>
      <c r="Z19" s="198" t="s">
        <v>515</v>
      </c>
      <c r="AA19" s="198">
        <v>1</v>
      </c>
      <c r="AB19" s="198">
        <v>1</v>
      </c>
      <c r="AC19" s="199">
        <v>0.25</v>
      </c>
      <c r="AD19" s="198">
        <v>5.6</v>
      </c>
      <c r="AE19" s="198">
        <v>4.37</v>
      </c>
      <c r="AF19" s="198">
        <v>1</v>
      </c>
      <c r="AG19" s="198">
        <v>1</v>
      </c>
      <c r="AH19" s="198" t="s">
        <v>515</v>
      </c>
      <c r="AI19" s="198" t="s">
        <v>515</v>
      </c>
      <c r="AJ19" s="198" t="s">
        <v>515</v>
      </c>
      <c r="AK19" s="198" t="s">
        <v>515</v>
      </c>
      <c r="AL19" s="198" t="s">
        <v>515</v>
      </c>
      <c r="AM19" s="198" t="s">
        <v>515</v>
      </c>
      <c r="AN19" s="198">
        <v>1</v>
      </c>
      <c r="AO19" s="198" t="s">
        <v>515</v>
      </c>
      <c r="AP19" s="198" t="s">
        <v>515</v>
      </c>
      <c r="AQ19" s="197">
        <v>0.4</v>
      </c>
      <c r="AR19" s="199">
        <v>0.67700000000000005</v>
      </c>
      <c r="AS19" s="22"/>
      <c r="AT19" s="258" t="s">
        <v>584</v>
      </c>
      <c r="AU19" s="259">
        <v>8</v>
      </c>
      <c r="AV19" s="256">
        <v>7</v>
      </c>
      <c r="AW19" s="256">
        <v>6</v>
      </c>
      <c r="AX19" s="256">
        <v>5</v>
      </c>
      <c r="AY19" s="256">
        <v>4</v>
      </c>
      <c r="AZ19" s="256">
        <v>3</v>
      </c>
      <c r="BA19" s="67" t="s">
        <v>585</v>
      </c>
      <c r="BB19" s="22"/>
      <c r="BC19" s="22"/>
      <c r="BD19" s="22"/>
      <c r="BE19" s="22"/>
      <c r="BF19" s="22"/>
      <c r="BG19" s="22"/>
      <c r="BH19" s="22"/>
      <c r="BI19" s="22"/>
      <c r="BJ19" s="22"/>
      <c r="BK19" s="22"/>
      <c r="BL19" s="22"/>
      <c r="BM19" s="22"/>
      <c r="BN19" s="22"/>
      <c r="BQ19" s="506"/>
      <c r="BR19" t="s">
        <v>586</v>
      </c>
    </row>
    <row r="20" spans="1:73" ht="32.15" customHeight="1" x14ac:dyDescent="0.25">
      <c r="A20" s="194" t="s">
        <v>587</v>
      </c>
      <c r="B20" s="195" t="s">
        <v>588</v>
      </c>
      <c r="C20" s="196" t="s">
        <v>515</v>
      </c>
      <c r="D20" s="196">
        <v>195</v>
      </c>
      <c r="E20" s="196">
        <v>10</v>
      </c>
      <c r="F20" s="267" t="s">
        <v>583</v>
      </c>
      <c r="G20" s="197">
        <v>0.5</v>
      </c>
      <c r="H20" s="197">
        <v>0.5</v>
      </c>
      <c r="I20" s="198">
        <v>1</v>
      </c>
      <c r="J20" s="198">
        <v>4</v>
      </c>
      <c r="K20" s="198">
        <v>4</v>
      </c>
      <c r="L20" s="198">
        <v>3</v>
      </c>
      <c r="M20" s="198">
        <v>4</v>
      </c>
      <c r="N20" s="199">
        <f>IF('Education calculator'!F20='Education calculator'!Q131,'Activity database'!N8,'Activity database'!N4)</f>
        <v>0.03</v>
      </c>
      <c r="O20" s="198" t="s">
        <v>517</v>
      </c>
      <c r="P20" s="198" t="s">
        <v>517</v>
      </c>
      <c r="Q20" s="198" t="s">
        <v>517</v>
      </c>
      <c r="R20" s="199">
        <v>6.0999999999999999E-2</v>
      </c>
      <c r="S20" s="198" t="s">
        <v>515</v>
      </c>
      <c r="T20" s="198" t="s">
        <v>515</v>
      </c>
      <c r="U20" s="198" t="s">
        <v>515</v>
      </c>
      <c r="V20" s="198" t="s">
        <v>517</v>
      </c>
      <c r="W20" s="198" t="s">
        <v>515</v>
      </c>
      <c r="X20" s="198">
        <v>1.58</v>
      </c>
      <c r="Y20" s="198" t="s">
        <v>515</v>
      </c>
      <c r="Z20" s="198" t="s">
        <v>515</v>
      </c>
      <c r="AA20" s="198">
        <v>1</v>
      </c>
      <c r="AB20" s="198">
        <v>1</v>
      </c>
      <c r="AC20" s="199">
        <v>0.25</v>
      </c>
      <c r="AD20" s="198">
        <v>5.6</v>
      </c>
      <c r="AE20" s="198">
        <v>4.37</v>
      </c>
      <c r="AF20" s="198">
        <v>1</v>
      </c>
      <c r="AG20" s="198">
        <v>1</v>
      </c>
      <c r="AH20" s="198" t="s">
        <v>515</v>
      </c>
      <c r="AI20" s="198" t="s">
        <v>515</v>
      </c>
      <c r="AJ20" s="198" t="s">
        <v>515</v>
      </c>
      <c r="AK20" s="198" t="s">
        <v>515</v>
      </c>
      <c r="AL20" s="198" t="s">
        <v>515</v>
      </c>
      <c r="AM20" s="198" t="s">
        <v>515</v>
      </c>
      <c r="AN20" s="198">
        <v>1</v>
      </c>
      <c r="AO20" s="198" t="s">
        <v>515</v>
      </c>
      <c r="AP20" s="198" t="s">
        <v>515</v>
      </c>
      <c r="AQ20" s="197">
        <v>0.4</v>
      </c>
      <c r="AR20" s="199">
        <v>0.67700000000000005</v>
      </c>
      <c r="AS20" s="22"/>
      <c r="AT20" s="258" t="s">
        <v>589</v>
      </c>
      <c r="AU20" s="259">
        <v>14</v>
      </c>
      <c r="AV20" s="256">
        <v>12</v>
      </c>
      <c r="AW20" s="256">
        <v>10</v>
      </c>
      <c r="AX20" s="256">
        <v>7.5</v>
      </c>
      <c r="AY20" s="256">
        <v>5</v>
      </c>
      <c r="AZ20" s="256">
        <v>4.5</v>
      </c>
      <c r="BA20" s="67" t="s">
        <v>590</v>
      </c>
      <c r="BO20" s="507"/>
      <c r="BP20" s="508"/>
      <c r="BQ20" s="506"/>
      <c r="BR20" s="506" t="s">
        <v>591</v>
      </c>
    </row>
    <row r="21" spans="1:73" s="260" customFormat="1" ht="42" customHeight="1" x14ac:dyDescent="0.25">
      <c r="A21" s="82" t="str">
        <f>IF(OR('Education calculator'!B13='Education calculator'!R135,'Education calculator'!B13='Education calculator'!R136),"Education - Classroom areas",IF(OR('Education calculator'!B13='Education calculator'!R137,'Education calculator'!B13='Education calculator'!R138),"Education - Seminar rooms/areas","Requires building type definition in calculator"))</f>
        <v>Education - Seminar rooms/areas</v>
      </c>
      <c r="B21" s="67" t="str">
        <f>IF(OR('Education calculator'!B13='Education calculator'!R135,'Education calculator'!B13='Education calculator'!R136),"Include basic classroom areas only. Exclude halls, specialist practical classrooms, i.e. ICT, and learning resource/library areas.",IF(OR('Education calculator'!B13='Education calculator'!R137,'Education calculator'!B13='Education calculator'!R138),"Include seminar rooms/spaces and write-up rooms/spaces i.e. areas where students and lecturers gather for seminars/write-up. Exclude lecture theatres, labs, workshops and library/learning resource area."))</f>
        <v>Include seminar rooms/spaces and write-up rooms/spaces i.e. areas where students and lecturers gather for seminars/write-up. Exclude lecture theatres, labs, workshops and library/learning resource area.</v>
      </c>
      <c r="C21" s="83">
        <f>IF('Education calculator'!B13='Education calculator'!R135,0.524,IF('Education calculator'!B13='Education calculator'!R136,0.532,IF('Education calculator'!B13='Education calculator'!R137,0.391,IF('Education calculator'!B13='Education calculator'!R138,0.395))))</f>
        <v>0.39500000000000002</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57"/>
      <c r="BO21" s="261"/>
      <c r="BP21" s="46"/>
      <c r="BR21" s="506" t="s">
        <v>592</v>
      </c>
    </row>
    <row r="22" spans="1:73" s="260" customFormat="1" ht="37.5" customHeight="1" x14ac:dyDescent="0.25">
      <c r="A22" s="82" t="s">
        <v>593</v>
      </c>
      <c r="B22" s="67" t="s">
        <v>594</v>
      </c>
      <c r="C22" s="83">
        <v>0.10299999999999999</v>
      </c>
      <c r="D22" s="207"/>
      <c r="E22" s="207"/>
      <c r="F22" s="207"/>
      <c r="G22" s="207"/>
      <c r="H22" s="207"/>
      <c r="I22" s="207"/>
      <c r="J22" s="207"/>
      <c r="K22" s="207"/>
      <c r="L22" s="207"/>
      <c r="M22" s="207"/>
      <c r="N22" s="207"/>
      <c r="O22" s="207"/>
      <c r="P22" s="207"/>
      <c r="Q22" s="207"/>
      <c r="R22" s="207"/>
      <c r="S22" s="207"/>
      <c r="T22" s="207"/>
      <c r="U22" s="295">
        <f>IF('Education calculator'!B13='Education calculator'!R135,0.0019,IF('Education calculator'!B13='Education calculator'!R136,0.0026,IF('Education calculator'!B13='Education calculator'!R137,0.002,IF('Education calculator'!B13='Education calculator'!R138,0.0025,"Requires Building Type Definition"))))</f>
        <v>2.5000000000000001E-3</v>
      </c>
      <c r="V22" s="207"/>
      <c r="W22" s="207"/>
      <c r="X22" s="207"/>
      <c r="Y22" s="207"/>
      <c r="Z22" s="207"/>
      <c r="AA22" s="207"/>
      <c r="AB22" s="207"/>
      <c r="AC22" s="207"/>
      <c r="AD22" s="207"/>
      <c r="AE22" s="207"/>
      <c r="AF22" s="207"/>
      <c r="AG22" s="207"/>
      <c r="AH22" s="203">
        <v>0.67</v>
      </c>
      <c r="AI22" s="207"/>
      <c r="AJ22" s="207"/>
      <c r="AK22" s="203">
        <v>1</v>
      </c>
      <c r="AL22" s="203" t="s">
        <v>517</v>
      </c>
      <c r="AM22" s="207"/>
      <c r="AN22" s="207"/>
      <c r="AO22" s="207"/>
      <c r="AP22" s="207"/>
      <c r="AQ22" s="207"/>
      <c r="AR22" s="207"/>
      <c r="AS22" s="257"/>
      <c r="BO22" s="46"/>
      <c r="BP22" s="46"/>
      <c r="BR22" s="509" t="s">
        <v>595</v>
      </c>
    </row>
    <row r="23" spans="1:73" s="260" customFormat="1" ht="37.5" customHeight="1" x14ac:dyDescent="0.25">
      <c r="A23" s="82" t="s">
        <v>596</v>
      </c>
      <c r="B23" s="67" t="s">
        <v>597</v>
      </c>
      <c r="C23" s="83">
        <v>0.10299999999999999</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57"/>
      <c r="BO23" s="46"/>
      <c r="BP23" s="46"/>
      <c r="BR23" s="509" t="s">
        <v>598</v>
      </c>
    </row>
    <row r="24" spans="1:73" s="260" customFormat="1" ht="37.5" customHeight="1" x14ac:dyDescent="0.25">
      <c r="A24" s="82" t="s">
        <v>599</v>
      </c>
      <c r="B24" s="67" t="s">
        <v>600</v>
      </c>
      <c r="C24" s="83">
        <f>IF(OR('Education calculator'!B13='Education calculator'!R137,'Education calculator'!B13='Education calculator'!R138),0.03,"See note")</f>
        <v>0.03</v>
      </c>
      <c r="D24" s="207"/>
      <c r="E24" s="207"/>
      <c r="F24" s="207"/>
      <c r="G24" s="207"/>
      <c r="H24" s="207"/>
      <c r="I24" s="207"/>
      <c r="J24" s="207"/>
      <c r="K24" s="207"/>
      <c r="L24" s="207"/>
      <c r="M24" s="207"/>
      <c r="N24" s="207"/>
      <c r="O24" s="207"/>
      <c r="P24" s="207"/>
      <c r="Q24" s="207"/>
      <c r="R24" s="207"/>
      <c r="S24" s="203" t="s">
        <v>527</v>
      </c>
      <c r="T24" s="207"/>
      <c r="U24" s="203" t="s">
        <v>527</v>
      </c>
      <c r="V24" s="202" t="s">
        <v>517</v>
      </c>
      <c r="W24" s="203" t="s">
        <v>527</v>
      </c>
      <c r="X24" s="207"/>
      <c r="Y24" s="299" t="b">
        <f>IF('Education calculator'!F19='Education calculator'!Q131,IF(AND('Education calculator'!O132&lt;300,OR('Education calculator'!B13='Education calculator'!R135,'Education calculator'!B13='Education calculator'!R136)),'Education calculator'!G19*0.9*2*2.674,IF(AND('Education calculator'!O132&gt;=300,OR('Education calculator'!B13='Education calculator'!R135,'Education calculator'!B13='Education calculator'!R136)),'Education calculator'!G19*0.9*3*2.674,IF(OR('Education calculator'!B13='Education calculator'!R137,'Education calculator'!B13='Education calculator'!R138),'Education calculator'!G19*0.6*2.674,"Requires building type/area definition"))))</f>
        <v>0</v>
      </c>
      <c r="Z24" s="203">
        <f>IF(OR('Education calculator'!B13='Education calculator'!R137,'Education calculator'!B13='Education calculator'!R138),'Education calculator'!G19*6.314*0.6,IF(OR('Education calculator'!B13='Education calculator'!R135,'Education calculator'!B13='Education calculator'!R136),IF('Education calculator'!O132&lt;300,'Education calculator'!G19*0.9*2*6.314,'Education calculator'!G19*0.9*3*6.314)))</f>
        <v>0</v>
      </c>
      <c r="AA24" s="207"/>
      <c r="AB24" s="207"/>
      <c r="AC24" s="207"/>
      <c r="AD24" s="207"/>
      <c r="AE24" s="207"/>
      <c r="AF24" s="207"/>
      <c r="AG24" s="207"/>
      <c r="AH24" s="207"/>
      <c r="AI24" s="203">
        <v>60</v>
      </c>
      <c r="AJ24" s="207"/>
      <c r="AK24" s="205">
        <f>IF(OR('Education calculator'!B13='Education calculator'!R137,'Education calculator'!B13='Education calculator'!R138),0.248,IF('Education calculator'!O142&gt;=300,0.675,IF('Education calculator'!O142&lt;300,0.45,'Education calculator'!Q138)))</f>
        <v>0.248</v>
      </c>
      <c r="AL24" s="203" t="s">
        <v>517</v>
      </c>
      <c r="AM24" s="203">
        <v>30</v>
      </c>
      <c r="AN24" s="207"/>
      <c r="AO24" s="203">
        <v>1</v>
      </c>
      <c r="AP24" s="203">
        <v>1</v>
      </c>
      <c r="AQ24" s="207"/>
      <c r="AR24" s="207"/>
      <c r="AS24" s="257"/>
      <c r="AU24" s="509"/>
      <c r="AV24" s="509"/>
      <c r="AW24" s="509"/>
      <c r="AX24" s="509"/>
      <c r="AY24" s="257"/>
      <c r="AZ24" s="257"/>
      <c r="BA24" s="509"/>
      <c r="BO24" s="261"/>
      <c r="BP24" s="46"/>
      <c r="BR24" s="509" t="s">
        <v>601</v>
      </c>
    </row>
    <row r="25" spans="1:73" s="260" customFormat="1" ht="32.15" customHeight="1" x14ac:dyDescent="0.25">
      <c r="A25" s="82" t="str">
        <f>IF(OR('Education calculator'!B13='Education calculator'!R135,'Education calculator'!B13='Education calculator'!R136),"Education - Changing facilities with showers ",IF(OR('Education calculator'!B13='Education calculator'!R137,'Education calculator'!B13='Education calculator'!R138),"Sporting facility with changing rooms and showers","Requires building type definition in calculator"))</f>
        <v>Sporting facility with changing rooms and showers</v>
      </c>
      <c r="B25" s="67" t="str">
        <f>IF(OR('Education calculator'!B13='Education calculator'!R135,'Education calculator'!B13='Education calculator'!R136),"Changing facility with showers to be used by pupils ",IF(OR('Education calculator'!B13='Education calculator'!R137,'Education calculator'!B13='Education calculator'!R138),"Changing facility with showers, used by students and/or staff, linked to a sporting/fitness facility e.g. gym, that is part of the assessed building."))</f>
        <v>Changing facility with showers, used by students and/or staff, linked to a sporting/fitness facility e.g. gym, that is part of the assessed building.</v>
      </c>
      <c r="C25" s="85">
        <v>0</v>
      </c>
      <c r="D25" s="207"/>
      <c r="E25" s="207"/>
      <c r="F25" s="207"/>
      <c r="G25" s="207"/>
      <c r="H25" s="207"/>
      <c r="I25" s="207"/>
      <c r="J25" s="207"/>
      <c r="K25" s="207"/>
      <c r="L25" s="207"/>
      <c r="M25" s="207"/>
      <c r="N25" s="207"/>
      <c r="O25" s="207"/>
      <c r="P25" s="207"/>
      <c r="Q25" s="207"/>
      <c r="R25" s="207"/>
      <c r="S25" s="207"/>
      <c r="T25" s="207"/>
      <c r="U25" s="207"/>
      <c r="V25" s="207"/>
      <c r="W25" s="207"/>
      <c r="X25" s="299">
        <f>IF(OR('Education calculator'!B13='Education calculator'!R135,'Education calculator'!B13='Education calculator'!R136),0.12,IF(OR('Education calculator'!B13='Education calculator'!R137,'Education calculator'!B13='Education calculator'!R138),0.05,"Requires building type definition"))</f>
        <v>0.05</v>
      </c>
      <c r="Y25" s="207"/>
      <c r="Z25" s="207"/>
      <c r="AA25" s="207"/>
      <c r="AB25" s="207"/>
      <c r="AC25" s="207"/>
      <c r="AD25" s="207"/>
      <c r="AE25" s="207"/>
      <c r="AF25" s="207"/>
      <c r="AG25" s="207"/>
      <c r="AH25" s="207"/>
      <c r="AI25" s="207"/>
      <c r="AJ25" s="207"/>
      <c r="AK25" s="207"/>
      <c r="AL25" s="207"/>
      <c r="AM25" s="207"/>
      <c r="AN25" s="207"/>
      <c r="AO25" s="207"/>
      <c r="AP25" s="207"/>
      <c r="AQ25" s="207"/>
      <c r="AR25" s="207"/>
      <c r="AS25" s="257"/>
      <c r="AU25" s="509"/>
      <c r="AV25" s="509"/>
      <c r="AW25" s="509"/>
      <c r="AX25" s="509"/>
      <c r="AY25" s="257"/>
      <c r="AZ25" s="257"/>
      <c r="BA25" s="509"/>
      <c r="BO25" s="261"/>
      <c r="BP25" s="46"/>
      <c r="BR25" s="509" t="s">
        <v>602</v>
      </c>
    </row>
    <row r="26" spans="1:73" s="260" customFormat="1" ht="32.15" customHeight="1" x14ac:dyDescent="0.25">
      <c r="A26" s="82" t="s">
        <v>603</v>
      </c>
      <c r="B26" s="67" t="s">
        <v>604</v>
      </c>
      <c r="C26" s="83">
        <v>0.21830985915493001</v>
      </c>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57"/>
      <c r="BO26" s="261"/>
      <c r="BP26" s="46"/>
      <c r="BR26" s="509" t="s">
        <v>605</v>
      </c>
    </row>
    <row r="27" spans="1:73" s="260" customFormat="1" ht="37.5" customHeight="1" x14ac:dyDescent="0.25">
      <c r="A27" s="82" t="s">
        <v>606</v>
      </c>
      <c r="B27" s="67" t="s">
        <v>607</v>
      </c>
      <c r="C27" s="83">
        <v>0.625</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57"/>
      <c r="BO27" s="46"/>
      <c r="BP27" s="46"/>
    </row>
    <row r="28" spans="1:73" s="260" customFormat="1" ht="32.15" customHeight="1" x14ac:dyDescent="0.25">
      <c r="A28" s="82" t="s">
        <v>608</v>
      </c>
      <c r="B28" s="67" t="s">
        <v>609</v>
      </c>
      <c r="C28" s="83">
        <v>6.3259259264444506E-2</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57"/>
      <c r="AU28" s="65"/>
      <c r="AV28" s="65"/>
      <c r="AW28" s="65"/>
      <c r="AX28" s="65"/>
      <c r="BA28" s="262"/>
      <c r="BO28" s="46"/>
      <c r="BP28" s="263"/>
    </row>
    <row r="29" spans="1:73" s="266" customFormat="1" ht="32.15" customHeight="1" x14ac:dyDescent="0.25">
      <c r="A29" s="67" t="s">
        <v>610</v>
      </c>
      <c r="B29" s="67" t="s">
        <v>611</v>
      </c>
      <c r="C29" s="83">
        <v>0.23100000000000001</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510"/>
      <c r="AT29" s="509"/>
      <c r="AU29" s="509"/>
      <c r="AV29" s="509"/>
      <c r="AW29" s="509"/>
      <c r="AX29" s="509"/>
      <c r="AY29" s="257"/>
      <c r="AZ29" s="257"/>
      <c r="BA29" s="509"/>
      <c r="BB29" s="509"/>
      <c r="BC29" s="509"/>
      <c r="BD29" s="509"/>
      <c r="BE29" s="509"/>
      <c r="BF29" s="509"/>
      <c r="BG29" s="509"/>
      <c r="BH29" s="509"/>
      <c r="BI29" s="509"/>
      <c r="BJ29" s="509"/>
      <c r="BK29" s="509"/>
      <c r="BL29" s="509"/>
      <c r="BM29" s="509"/>
      <c r="BN29" s="509"/>
      <c r="BO29" s="265"/>
      <c r="BP29" s="17"/>
      <c r="BQ29" s="509"/>
      <c r="BR29" s="509"/>
      <c r="BS29" s="509"/>
      <c r="BT29" s="509"/>
      <c r="BU29" s="509"/>
    </row>
    <row r="30" spans="1:73" s="266" customFormat="1" ht="32.15" customHeight="1" x14ac:dyDescent="0.25">
      <c r="A30" s="326" t="s">
        <v>612</v>
      </c>
      <c r="B30" s="67" t="s">
        <v>613</v>
      </c>
      <c r="C30" s="83">
        <v>0.10625</v>
      </c>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510"/>
      <c r="AT30" s="509"/>
      <c r="AU30" s="509"/>
      <c r="AV30" s="509"/>
      <c r="AW30" s="509"/>
      <c r="AX30" s="509"/>
      <c r="AY30" s="257"/>
      <c r="AZ30" s="257"/>
      <c r="BA30" s="509"/>
      <c r="BB30" s="509"/>
      <c r="BC30" s="509"/>
      <c r="BD30" s="509"/>
      <c r="BE30" s="509"/>
      <c r="BF30" s="509"/>
      <c r="BG30" s="509"/>
      <c r="BH30" s="509"/>
      <c r="BI30" s="509"/>
      <c r="BJ30" s="509"/>
      <c r="BK30" s="509"/>
      <c r="BL30" s="509"/>
      <c r="BM30" s="509"/>
      <c r="BN30" s="509"/>
      <c r="BO30" s="265"/>
      <c r="BP30" s="17"/>
      <c r="BQ30" s="509"/>
      <c r="BR30" s="509"/>
      <c r="BS30" s="509"/>
      <c r="BT30" s="509"/>
      <c r="BU30" s="509"/>
    </row>
    <row r="31" spans="1:73" s="307" customFormat="1" ht="36" customHeight="1" x14ac:dyDescent="0.2">
      <c r="A31" s="328" t="s">
        <v>614</v>
      </c>
      <c r="B31" s="323" t="s">
        <v>615</v>
      </c>
      <c r="C31" s="267" t="s">
        <v>515</v>
      </c>
      <c r="D31" s="267">
        <v>362</v>
      </c>
      <c r="E31" s="267">
        <v>8.5</v>
      </c>
      <c r="F31" s="267" t="s">
        <v>515</v>
      </c>
      <c r="G31" s="334" t="str">
        <f>IF(ISERROR((('Retail calculator'!$P$139/'Retail calculator'!$O$140)*'Activity database'!G32)+(('Retail calculator'!$O$139/'Retail calculator'!$O$140)*'Activity database'!G33)),"Requires building information",(('Retail calculator'!$P$139/'Retail calculator'!$O$140)*'Activity database'!G32)+(('Retail calculator'!$O$139/'Retail calculator'!$O$140)*'Activity database'!G33))</f>
        <v>Requires building information</v>
      </c>
      <c r="H31" s="341" t="str">
        <f>IF(ISERROR((('Retail calculator'!$P$139/'Retail calculator'!$O$140)*'Activity database'!H32)+(('Retail calculator'!$O$139/'Retail calculator'!$O$140)*'Activity database'!H33)),"Requires building information",(('Retail calculator'!$P$139/'Retail calculator'!$O$140)*'Activity database'!H32)+(('Retail calculator'!$O$139/'Retail calculator'!$O$140)*'Activity database'!H33))</f>
        <v>Requires building information</v>
      </c>
      <c r="I31" s="333" t="str">
        <f>IF(ISERROR((('Retail calculator'!$P$139/'Retail calculator'!$O$140)*'Activity database'!I32)+(('Retail calculator'!$O$139/'Retail calculator'!$O$140)*'Activity database'!I33)),"Requires building information",(('Retail calculator'!$P$139/'Retail calculator'!$O$140)*'Activity database'!I32)+(('Retail calculator'!$O$139/'Retail calculator'!$O$140)*'Activity database'!I33))</f>
        <v>Requires building information</v>
      </c>
      <c r="J31" s="333" t="str">
        <f>IF(ISERROR((('Retail calculator'!$P$139/'Retail calculator'!$O$140)*'Activity database'!J32)+(('Retail calculator'!$O$139/'Retail calculator'!$O$140)*'Activity database'!J33)),"Requires building information",(('Retail calculator'!$P$139/'Retail calculator'!$O$140)*'Activity database'!J32)+(('Retail calculator'!$O$139/'Retail calculator'!$O$140)*'Activity database'!J33))</f>
        <v>Requires building information</v>
      </c>
      <c r="K31" s="333" t="str">
        <f>IF(ISERROR((('Retail calculator'!$P$139/'Retail calculator'!$O$140)*'Activity database'!K32)+(('Retail calculator'!$O$139/'Retail calculator'!$O$140)*'Activity database'!K33)),"Requires building information",(('Retail calculator'!$P$139/'Retail calculator'!$O$140)*'Activity database'!K32)+(('Retail calculator'!$O$139/'Retail calculator'!$O$140)*'Activity database'!K33))</f>
        <v>Requires building information</v>
      </c>
      <c r="L31" s="333" t="str">
        <f>IF(ISERROR((('Retail calculator'!$P$139/'Retail calculator'!$O$140)*'Activity database'!L32)+(('Retail calculator'!$O$139/'Retail calculator'!$O$140)*'Activity database'!L33)),"Requires building information",(('Retail calculator'!$P$139/'Retail calculator'!$O$140)*'Activity database'!L32)+(('Retail calculator'!$O$139/'Retail calculator'!$O$140)*'Activity database'!L33))</f>
        <v>Requires building information</v>
      </c>
      <c r="M31" s="333" t="str">
        <f>IF(ISERROR((('Retail calculator'!$P$139/'Retail calculator'!$O$140)*'Activity database'!M32)+(('Retail calculator'!$O$139/'Retail calculator'!$O$140)*'Activity database'!M33)),"Requires building information",(('Retail calculator'!$P$139/'Retail calculator'!$O$140)*'Activity database'!M32)+(('Retail calculator'!$O$139/'Retail calculator'!$O$140)*'Activity database'!M33))</f>
        <v>Requires building information</v>
      </c>
      <c r="N31" s="342" t="str">
        <f>IF(ISERROR('Retail calculator'!$P$139/'Retail calculator'!$O$140)*'Activity database'!N32,"Requires building information",('Retail calculator'!$P$139/'Retail calculator'!$O$140)*'Activity database'!N32)</f>
        <v>Requires building information</v>
      </c>
      <c r="O31" s="198" t="s">
        <v>517</v>
      </c>
      <c r="P31" s="198" t="s">
        <v>517</v>
      </c>
      <c r="Q31" s="198" t="s">
        <v>517</v>
      </c>
      <c r="R31" s="335" t="s">
        <v>515</v>
      </c>
      <c r="S31" s="335" t="s">
        <v>515</v>
      </c>
      <c r="T31" s="335" t="s">
        <v>515</v>
      </c>
      <c r="U31" s="335" t="s">
        <v>515</v>
      </c>
      <c r="V31" s="198" t="s">
        <v>517</v>
      </c>
      <c r="W31" s="335" t="s">
        <v>515</v>
      </c>
      <c r="X31" s="335" t="str">
        <f>IF(ISERROR('Retail calculator'!$P$139/'Retail calculator'!$O$140)*'Activity database'!X32,"Requires building information",('Retail calculator'!$P$139/'Retail calculator'!$O$140)*'Activity database'!X32)</f>
        <v>Requires building information</v>
      </c>
      <c r="Y31" s="335" t="s">
        <v>515</v>
      </c>
      <c r="Z31" s="335" t="s">
        <v>515</v>
      </c>
      <c r="AA31" s="335">
        <v>1</v>
      </c>
      <c r="AB31" s="335">
        <v>1</v>
      </c>
      <c r="AC31" s="335">
        <v>0.25</v>
      </c>
      <c r="AD31" s="335">
        <v>5.6</v>
      </c>
      <c r="AE31" s="335">
        <v>4.37</v>
      </c>
      <c r="AF31" s="335">
        <v>1</v>
      </c>
      <c r="AG31" s="335">
        <v>1</v>
      </c>
      <c r="AH31" s="335" t="s">
        <v>515</v>
      </c>
      <c r="AI31" s="335" t="s">
        <v>515</v>
      </c>
      <c r="AJ31" s="335" t="s">
        <v>515</v>
      </c>
      <c r="AK31" s="335" t="s">
        <v>515</v>
      </c>
      <c r="AL31" s="335" t="s">
        <v>515</v>
      </c>
      <c r="AM31" s="335" t="s">
        <v>515</v>
      </c>
      <c r="AN31" s="335">
        <f>AN32</f>
        <v>1</v>
      </c>
      <c r="AO31" s="335" t="s">
        <v>515</v>
      </c>
      <c r="AP31" s="335" t="s">
        <v>515</v>
      </c>
      <c r="AQ31" s="336">
        <v>0.4</v>
      </c>
      <c r="AR31" s="337">
        <v>0.67700000000000005</v>
      </c>
      <c r="AS31" s="338"/>
      <c r="AU31" s="305"/>
      <c r="AV31" s="339"/>
      <c r="AW31" s="305"/>
      <c r="BO31" s="49"/>
      <c r="BP31" s="340"/>
    </row>
    <row r="32" spans="1:73" s="68" customFormat="1" ht="14.25" customHeight="1" x14ac:dyDescent="0.2">
      <c r="A32" s="329"/>
      <c r="B32" s="323"/>
      <c r="C32" s="196" t="s">
        <v>515</v>
      </c>
      <c r="D32" s="196" t="s">
        <v>515</v>
      </c>
      <c r="E32" s="196" t="s">
        <v>515</v>
      </c>
      <c r="F32" s="267" t="s">
        <v>516</v>
      </c>
      <c r="G32" s="197">
        <v>0.5</v>
      </c>
      <c r="H32" s="197">
        <v>0.5</v>
      </c>
      <c r="I32" s="198">
        <v>1</v>
      </c>
      <c r="J32" s="198">
        <v>4</v>
      </c>
      <c r="K32" s="198">
        <v>4</v>
      </c>
      <c r="L32" s="198">
        <v>3</v>
      </c>
      <c r="M32" s="198">
        <v>4</v>
      </c>
      <c r="N32" s="198">
        <v>0.03</v>
      </c>
      <c r="O32" s="198" t="s">
        <v>517</v>
      </c>
      <c r="P32" s="198" t="s">
        <v>517</v>
      </c>
      <c r="Q32" s="198" t="s">
        <v>517</v>
      </c>
      <c r="R32" s="198" t="s">
        <v>515</v>
      </c>
      <c r="S32" s="198" t="s">
        <v>515</v>
      </c>
      <c r="T32" s="198" t="s">
        <v>515</v>
      </c>
      <c r="U32" s="198" t="s">
        <v>515</v>
      </c>
      <c r="V32" s="198" t="s">
        <v>517</v>
      </c>
      <c r="W32" s="198" t="s">
        <v>515</v>
      </c>
      <c r="X32" s="198">
        <v>1.58</v>
      </c>
      <c r="Y32" s="198" t="s">
        <v>515</v>
      </c>
      <c r="Z32" s="198" t="s">
        <v>515</v>
      </c>
      <c r="AA32" s="198" t="s">
        <v>515</v>
      </c>
      <c r="AB32" s="198" t="s">
        <v>515</v>
      </c>
      <c r="AC32" s="198" t="s">
        <v>515</v>
      </c>
      <c r="AD32" s="198" t="s">
        <v>515</v>
      </c>
      <c r="AE32" s="198" t="s">
        <v>515</v>
      </c>
      <c r="AF32" s="198" t="s">
        <v>515</v>
      </c>
      <c r="AG32" s="198" t="s">
        <v>515</v>
      </c>
      <c r="AH32" s="198" t="s">
        <v>515</v>
      </c>
      <c r="AI32" s="198" t="s">
        <v>515</v>
      </c>
      <c r="AJ32" s="198" t="s">
        <v>515</v>
      </c>
      <c r="AK32" s="198" t="s">
        <v>515</v>
      </c>
      <c r="AL32" s="198" t="s">
        <v>515</v>
      </c>
      <c r="AM32" s="198" t="s">
        <v>515</v>
      </c>
      <c r="AN32" s="198">
        <v>1</v>
      </c>
      <c r="AO32" s="198" t="s">
        <v>515</v>
      </c>
      <c r="AP32" s="198" t="s">
        <v>515</v>
      </c>
      <c r="AQ32" s="198" t="s">
        <v>515</v>
      </c>
      <c r="AR32" s="198" t="s">
        <v>515</v>
      </c>
      <c r="AS32" s="304"/>
      <c r="AU32" s="305"/>
      <c r="AV32" s="306"/>
      <c r="AW32" s="305"/>
      <c r="BB32" s="307"/>
      <c r="BC32" s="307"/>
      <c r="BD32" s="307"/>
      <c r="BE32" s="307"/>
      <c r="BF32" s="307"/>
      <c r="BG32" s="307"/>
      <c r="BH32" s="307"/>
      <c r="BI32" s="307"/>
      <c r="BJ32" s="307"/>
      <c r="BK32" s="307"/>
      <c r="BL32" s="307"/>
      <c r="BM32" s="307"/>
      <c r="BN32" s="307"/>
      <c r="BO32" s="45"/>
      <c r="BP32" s="308"/>
    </row>
    <row r="33" spans="1:71" s="68" customFormat="1" ht="14.25" customHeight="1" x14ac:dyDescent="0.2">
      <c r="A33" s="330"/>
      <c r="B33" s="323"/>
      <c r="C33" s="196" t="s">
        <v>515</v>
      </c>
      <c r="D33" s="196" t="s">
        <v>515</v>
      </c>
      <c r="E33" s="196" t="s">
        <v>515</v>
      </c>
      <c r="F33" s="267" t="s">
        <v>616</v>
      </c>
      <c r="G33" s="197">
        <v>0.35</v>
      </c>
      <c r="H33" s="197">
        <v>0.65</v>
      </c>
      <c r="I33" s="198">
        <v>0.1333</v>
      </c>
      <c r="J33" s="198">
        <v>0.8</v>
      </c>
      <c r="K33" s="198">
        <v>0.8</v>
      </c>
      <c r="L33" s="198">
        <v>0.66700000000000004</v>
      </c>
      <c r="M33" s="198">
        <v>0.8</v>
      </c>
      <c r="N33" s="198" t="s">
        <v>515</v>
      </c>
      <c r="O33" s="198" t="s">
        <v>517</v>
      </c>
      <c r="P33" s="198" t="s">
        <v>517</v>
      </c>
      <c r="Q33" s="198" t="s">
        <v>517</v>
      </c>
      <c r="R33" s="198" t="s">
        <v>515</v>
      </c>
      <c r="S33" s="198" t="s">
        <v>515</v>
      </c>
      <c r="T33" s="198" t="s">
        <v>515</v>
      </c>
      <c r="U33" s="198" t="s">
        <v>515</v>
      </c>
      <c r="V33" s="198" t="s">
        <v>517</v>
      </c>
      <c r="W33" s="198" t="s">
        <v>515</v>
      </c>
      <c r="X33" s="198" t="s">
        <v>515</v>
      </c>
      <c r="Y33" s="198" t="s">
        <v>515</v>
      </c>
      <c r="Z33" s="198" t="s">
        <v>515</v>
      </c>
      <c r="AA33" s="198" t="s">
        <v>515</v>
      </c>
      <c r="AB33" s="198" t="s">
        <v>515</v>
      </c>
      <c r="AC33" s="198" t="s">
        <v>515</v>
      </c>
      <c r="AD33" s="198" t="s">
        <v>515</v>
      </c>
      <c r="AE33" s="198" t="s">
        <v>515</v>
      </c>
      <c r="AF33" s="198" t="s">
        <v>515</v>
      </c>
      <c r="AG33" s="198" t="s">
        <v>515</v>
      </c>
      <c r="AH33" s="198" t="s">
        <v>515</v>
      </c>
      <c r="AI33" s="198" t="s">
        <v>515</v>
      </c>
      <c r="AJ33" s="198" t="s">
        <v>515</v>
      </c>
      <c r="AK33" s="198" t="s">
        <v>515</v>
      </c>
      <c r="AL33" s="198" t="s">
        <v>515</v>
      </c>
      <c r="AM33" s="198" t="s">
        <v>515</v>
      </c>
      <c r="AN33" s="198" t="s">
        <v>515</v>
      </c>
      <c r="AO33" s="198" t="s">
        <v>515</v>
      </c>
      <c r="AP33" s="198" t="s">
        <v>515</v>
      </c>
      <c r="AQ33" s="198" t="s">
        <v>515</v>
      </c>
      <c r="AR33" s="198" t="s">
        <v>515</v>
      </c>
      <c r="AS33" s="304"/>
      <c r="AU33" s="305"/>
      <c r="AV33" s="306"/>
      <c r="AW33" s="305"/>
      <c r="BB33" s="307"/>
      <c r="BC33" s="307"/>
      <c r="BD33" s="307"/>
      <c r="BE33" s="307"/>
      <c r="BF33" s="307"/>
      <c r="BG33" s="307"/>
      <c r="BH33" s="307"/>
      <c r="BI33" s="307"/>
      <c r="BJ33" s="307"/>
      <c r="BK33" s="307"/>
      <c r="BL33" s="307"/>
      <c r="BM33" s="307"/>
      <c r="BN33" s="307"/>
      <c r="BO33" s="45"/>
      <c r="BP33" s="308"/>
    </row>
    <row r="34" spans="1:71" s="68" customFormat="1" ht="36" customHeight="1" x14ac:dyDescent="0.2">
      <c r="A34" s="331" t="s">
        <v>617</v>
      </c>
      <c r="B34" s="323" t="s">
        <v>618</v>
      </c>
      <c r="C34" s="196" t="s">
        <v>515</v>
      </c>
      <c r="D34" s="196">
        <v>362</v>
      </c>
      <c r="E34" s="311">
        <v>13</v>
      </c>
      <c r="F34" s="198" t="s">
        <v>515</v>
      </c>
      <c r="G34" s="334" t="str">
        <f>IF(ISERROR((('Retail calculator'!$P$139/'Retail calculator'!$O$140)*'Activity database'!G35)+(('Retail calculator'!$O$139/'Retail calculator'!$O$140)*'Activity database'!G36)),"Requires building information",(('Retail calculator'!$P$139/'Retail calculator'!$O$140)*'Activity database'!G35)+(('Retail calculator'!$O$139/'Retail calculator'!$O$140)*'Activity database'!G36))</f>
        <v>Requires building information</v>
      </c>
      <c r="H34" s="341" t="str">
        <f>IF(ISERROR((('Retail calculator'!$P$139/'Retail calculator'!$O$140)*'Activity database'!H35)+(('Retail calculator'!$O$139/'Retail calculator'!$O$140)*'Activity database'!H36)),"Requires building information",(('Retail calculator'!$P$139/'Retail calculator'!$O$140)*'Activity database'!H35)+(('Retail calculator'!$O$139/'Retail calculator'!$O$140)*'Activity database'!H36))</f>
        <v>Requires building information</v>
      </c>
      <c r="I34" s="333" t="str">
        <f>IF(ISERROR((('Retail calculator'!$P$139/'Retail calculator'!$O$140)*'Activity database'!I35)+(('Retail calculator'!$O$139/'Retail calculator'!$O$140)*'Activity database'!I36)),"Requires building information",(('Retail calculator'!$P$139/'Retail calculator'!$O$140)*'Activity database'!I35)+(('Retail calculator'!$O$139/'Retail calculator'!$O$140)*'Activity database'!I36))</f>
        <v>Requires building information</v>
      </c>
      <c r="J34" s="333" t="str">
        <f>IF(ISERROR((('Retail calculator'!$P$139/'Retail calculator'!$O$140)*'Activity database'!J35)+(('Retail calculator'!$O$139/'Retail calculator'!$O$140)*'Activity database'!J36)),"Requires building information",(('Retail calculator'!$P$139/'Retail calculator'!$O$140)*'Activity database'!J35)+(('Retail calculator'!$O$139/'Retail calculator'!$O$140)*'Activity database'!J36))</f>
        <v>Requires building information</v>
      </c>
      <c r="K34" s="333" t="str">
        <f>IF(ISERROR((('Retail calculator'!$P$139/'Retail calculator'!$O$140)*'Activity database'!K35)+(('Retail calculator'!$O$139/'Retail calculator'!$O$140)*'Activity database'!K36)),"Requires building information",(('Retail calculator'!$P$139/'Retail calculator'!$O$140)*'Activity database'!K35)+(('Retail calculator'!$O$139/'Retail calculator'!$O$140)*'Activity database'!K36))</f>
        <v>Requires building information</v>
      </c>
      <c r="L34" s="333" t="str">
        <f>IF(ISERROR((('Retail calculator'!$P$139/'Retail calculator'!$O$140)*'Activity database'!L35)+(('Retail calculator'!$O$139/'Retail calculator'!$O$140)*'Activity database'!L36)),"Requires building information",(('Retail calculator'!$P$139/'Retail calculator'!$O$140)*'Activity database'!L35)+(('Retail calculator'!$O$139/'Retail calculator'!$O$140)*'Activity database'!L36))</f>
        <v>Requires building information</v>
      </c>
      <c r="M34" s="333" t="str">
        <f>IF(ISERROR((('Retail calculator'!$P$139/'Retail calculator'!$O$140)*'Activity database'!M35)+(('Retail calculator'!$O$139/'Retail calculator'!$O$140)*'Activity database'!M36)),"Requires building information",(('Retail calculator'!$P$139/'Retail calculator'!$O$140)*'Activity database'!M35)+(('Retail calculator'!$O$139/'Retail calculator'!$O$140)*'Activity database'!M36))</f>
        <v>Requires building information</v>
      </c>
      <c r="N34" s="342" t="str">
        <f>IF(ISERROR('Retail calculator'!$P$139/'Retail calculator'!$O$140)*'Activity database'!N35,"Requires building information",('Retail calculator'!$P$139/'Retail calculator'!$O$140)*'Activity database'!N35)</f>
        <v>Requires building information</v>
      </c>
      <c r="O34" s="198" t="s">
        <v>517</v>
      </c>
      <c r="P34" s="198" t="s">
        <v>517</v>
      </c>
      <c r="Q34" s="198" t="s">
        <v>517</v>
      </c>
      <c r="R34" s="198" t="s">
        <v>515</v>
      </c>
      <c r="S34" s="198" t="s">
        <v>515</v>
      </c>
      <c r="T34" s="198" t="s">
        <v>515</v>
      </c>
      <c r="U34" s="198" t="s">
        <v>515</v>
      </c>
      <c r="V34" s="198" t="s">
        <v>517</v>
      </c>
      <c r="W34" s="198" t="s">
        <v>515</v>
      </c>
      <c r="X34" s="335" t="str">
        <f>IF(ISERROR('Retail calculator'!$P$139/'Retail calculator'!$O$140)*'Activity database'!X35,"Requires building information",('Retail calculator'!$P$139/'Retail calculator'!$O$140)*'Activity database'!X35)</f>
        <v>Requires building information</v>
      </c>
      <c r="Y34" s="198" t="s">
        <v>515</v>
      </c>
      <c r="Z34" s="198" t="s">
        <v>515</v>
      </c>
      <c r="AA34" s="198">
        <v>1</v>
      </c>
      <c r="AB34" s="198">
        <v>1</v>
      </c>
      <c r="AC34" s="199">
        <v>0.25</v>
      </c>
      <c r="AD34" s="198">
        <v>5.6</v>
      </c>
      <c r="AE34" s="198">
        <v>4.37</v>
      </c>
      <c r="AF34" s="198">
        <v>1</v>
      </c>
      <c r="AG34" s="198">
        <v>1</v>
      </c>
      <c r="AH34" s="198" t="s">
        <v>515</v>
      </c>
      <c r="AI34" s="198" t="s">
        <v>515</v>
      </c>
      <c r="AJ34" s="198" t="s">
        <v>515</v>
      </c>
      <c r="AK34" s="198" t="s">
        <v>515</v>
      </c>
      <c r="AL34" s="198" t="s">
        <v>515</v>
      </c>
      <c r="AM34" s="198" t="s">
        <v>515</v>
      </c>
      <c r="AN34" s="198">
        <f>AN35</f>
        <v>1</v>
      </c>
      <c r="AO34" s="198" t="s">
        <v>515</v>
      </c>
      <c r="AP34" s="198" t="s">
        <v>515</v>
      </c>
      <c r="AQ34" s="197">
        <v>0.4</v>
      </c>
      <c r="AR34" s="199">
        <v>0.67700000000000005</v>
      </c>
      <c r="AS34" s="304"/>
      <c r="AU34" s="305"/>
      <c r="AV34" s="306"/>
      <c r="AW34" s="305"/>
      <c r="BB34" s="307"/>
      <c r="BC34" s="307"/>
      <c r="BD34" s="307"/>
      <c r="BE34" s="307"/>
      <c r="BF34" s="307"/>
      <c r="BG34" s="307"/>
      <c r="BH34" s="307"/>
      <c r="BI34" s="307"/>
      <c r="BJ34" s="307"/>
      <c r="BK34" s="307"/>
      <c r="BL34" s="307"/>
      <c r="BM34" s="307"/>
      <c r="BN34" s="307"/>
      <c r="BO34" s="45"/>
      <c r="BP34" s="308"/>
    </row>
    <row r="35" spans="1:71" s="68" customFormat="1" ht="14.25" customHeight="1" x14ac:dyDescent="0.2">
      <c r="A35" s="329"/>
      <c r="B35" s="323"/>
      <c r="C35" s="196" t="s">
        <v>515</v>
      </c>
      <c r="D35" s="196" t="s">
        <v>515</v>
      </c>
      <c r="E35" s="196" t="s">
        <v>515</v>
      </c>
      <c r="F35" s="267" t="s">
        <v>516</v>
      </c>
      <c r="G35" s="197">
        <v>0.5</v>
      </c>
      <c r="H35" s="197">
        <v>0.5</v>
      </c>
      <c r="I35" s="198">
        <v>1</v>
      </c>
      <c r="J35" s="198">
        <v>4</v>
      </c>
      <c r="K35" s="198">
        <v>4</v>
      </c>
      <c r="L35" s="198">
        <v>3</v>
      </c>
      <c r="M35" s="198">
        <v>4</v>
      </c>
      <c r="N35" s="198">
        <v>0.03</v>
      </c>
      <c r="O35" s="198" t="s">
        <v>517</v>
      </c>
      <c r="P35" s="198" t="s">
        <v>517</v>
      </c>
      <c r="Q35" s="198" t="s">
        <v>517</v>
      </c>
      <c r="R35" s="198" t="s">
        <v>515</v>
      </c>
      <c r="S35" s="198" t="s">
        <v>515</v>
      </c>
      <c r="T35" s="198" t="s">
        <v>515</v>
      </c>
      <c r="U35" s="198" t="s">
        <v>515</v>
      </c>
      <c r="V35" s="198" t="s">
        <v>517</v>
      </c>
      <c r="W35" s="198" t="s">
        <v>515</v>
      </c>
      <c r="X35" s="198">
        <v>1.58</v>
      </c>
      <c r="Y35" s="198" t="s">
        <v>515</v>
      </c>
      <c r="Z35" s="198" t="s">
        <v>515</v>
      </c>
      <c r="AA35" s="198" t="s">
        <v>515</v>
      </c>
      <c r="AB35" s="198" t="s">
        <v>515</v>
      </c>
      <c r="AC35" s="198" t="s">
        <v>515</v>
      </c>
      <c r="AD35" s="198" t="s">
        <v>515</v>
      </c>
      <c r="AE35" s="198" t="s">
        <v>515</v>
      </c>
      <c r="AF35" s="198" t="s">
        <v>515</v>
      </c>
      <c r="AG35" s="198" t="s">
        <v>515</v>
      </c>
      <c r="AH35" s="198" t="s">
        <v>515</v>
      </c>
      <c r="AI35" s="198" t="s">
        <v>515</v>
      </c>
      <c r="AJ35" s="198" t="s">
        <v>515</v>
      </c>
      <c r="AK35" s="198" t="s">
        <v>515</v>
      </c>
      <c r="AL35" s="198" t="s">
        <v>515</v>
      </c>
      <c r="AM35" s="198" t="s">
        <v>515</v>
      </c>
      <c r="AN35" s="198">
        <v>1</v>
      </c>
      <c r="AO35" s="198" t="s">
        <v>515</v>
      </c>
      <c r="AP35" s="198" t="s">
        <v>515</v>
      </c>
      <c r="AQ35" s="198" t="s">
        <v>515</v>
      </c>
      <c r="AR35" s="198" t="s">
        <v>515</v>
      </c>
      <c r="AS35" s="304"/>
      <c r="AU35" s="305"/>
      <c r="AV35" s="306"/>
      <c r="AW35" s="305"/>
      <c r="BB35" s="307"/>
      <c r="BC35" s="307"/>
      <c r="BD35" s="307"/>
      <c r="BE35" s="307"/>
      <c r="BF35" s="307"/>
      <c r="BG35" s="307"/>
      <c r="BH35" s="307"/>
      <c r="BI35" s="307"/>
      <c r="BJ35" s="307"/>
      <c r="BK35" s="307"/>
      <c r="BL35" s="307"/>
      <c r="BM35" s="307"/>
      <c r="BN35" s="307"/>
      <c r="BO35" s="45"/>
      <c r="BP35" s="308"/>
    </row>
    <row r="36" spans="1:71" s="68" customFormat="1" ht="14.25" customHeight="1" x14ac:dyDescent="0.2">
      <c r="A36" s="329"/>
      <c r="B36" s="323"/>
      <c r="C36" s="196" t="s">
        <v>515</v>
      </c>
      <c r="D36" s="196" t="s">
        <v>515</v>
      </c>
      <c r="E36" s="196" t="s">
        <v>515</v>
      </c>
      <c r="F36" s="267" t="s">
        <v>619</v>
      </c>
      <c r="G36" s="197">
        <v>0.35</v>
      </c>
      <c r="H36" s="197">
        <v>0.65</v>
      </c>
      <c r="I36" s="198">
        <v>0.1333</v>
      </c>
      <c r="J36" s="198">
        <v>0.8</v>
      </c>
      <c r="K36" s="198">
        <v>0.8</v>
      </c>
      <c r="L36" s="198">
        <v>0.66700000000000004</v>
      </c>
      <c r="M36" s="198">
        <v>0.8</v>
      </c>
      <c r="N36" s="198" t="s">
        <v>515</v>
      </c>
      <c r="O36" s="198" t="s">
        <v>517</v>
      </c>
      <c r="P36" s="198" t="s">
        <v>517</v>
      </c>
      <c r="Q36" s="198" t="s">
        <v>517</v>
      </c>
      <c r="R36" s="198" t="s">
        <v>515</v>
      </c>
      <c r="S36" s="198" t="s">
        <v>515</v>
      </c>
      <c r="T36" s="198" t="s">
        <v>515</v>
      </c>
      <c r="U36" s="198" t="s">
        <v>515</v>
      </c>
      <c r="V36" s="198" t="s">
        <v>517</v>
      </c>
      <c r="W36" s="198" t="s">
        <v>515</v>
      </c>
      <c r="X36" s="198" t="s">
        <v>515</v>
      </c>
      <c r="Y36" s="198" t="s">
        <v>515</v>
      </c>
      <c r="Z36" s="198" t="s">
        <v>515</v>
      </c>
      <c r="AA36" s="198" t="s">
        <v>515</v>
      </c>
      <c r="AB36" s="198" t="s">
        <v>515</v>
      </c>
      <c r="AC36" s="198" t="s">
        <v>515</v>
      </c>
      <c r="AD36" s="198" t="s">
        <v>515</v>
      </c>
      <c r="AE36" s="198" t="s">
        <v>515</v>
      </c>
      <c r="AF36" s="198" t="s">
        <v>515</v>
      </c>
      <c r="AG36" s="198" t="s">
        <v>515</v>
      </c>
      <c r="AH36" s="198" t="s">
        <v>515</v>
      </c>
      <c r="AI36" s="198" t="s">
        <v>515</v>
      </c>
      <c r="AJ36" s="198" t="s">
        <v>515</v>
      </c>
      <c r="AK36" s="198" t="s">
        <v>515</v>
      </c>
      <c r="AL36" s="198" t="s">
        <v>515</v>
      </c>
      <c r="AM36" s="198" t="s">
        <v>515</v>
      </c>
      <c r="AN36" s="198" t="s">
        <v>515</v>
      </c>
      <c r="AO36" s="198" t="s">
        <v>515</v>
      </c>
      <c r="AP36" s="198" t="s">
        <v>515</v>
      </c>
      <c r="AQ36" s="198" t="s">
        <v>515</v>
      </c>
      <c r="AR36" s="198" t="s">
        <v>515</v>
      </c>
      <c r="AS36" s="304"/>
      <c r="AU36" s="305"/>
      <c r="AV36" s="306"/>
      <c r="AW36" s="305"/>
      <c r="BB36" s="307"/>
      <c r="BC36" s="307"/>
      <c r="BD36" s="307"/>
      <c r="BE36" s="307"/>
      <c r="BF36" s="307"/>
      <c r="BG36" s="307"/>
      <c r="BH36" s="307"/>
      <c r="BI36" s="307"/>
      <c r="BJ36" s="307"/>
      <c r="BK36" s="307"/>
      <c r="BL36" s="307"/>
      <c r="BM36" s="307"/>
      <c r="BN36" s="307"/>
      <c r="BO36" s="45"/>
      <c r="BP36" s="308"/>
    </row>
    <row r="37" spans="1:71" s="68" customFormat="1" ht="33.75" customHeight="1" x14ac:dyDescent="0.25">
      <c r="A37" s="328" t="s">
        <v>620</v>
      </c>
      <c r="B37" s="323" t="s">
        <v>621</v>
      </c>
      <c r="C37" s="196" t="s">
        <v>515</v>
      </c>
      <c r="D37" s="196">
        <v>304</v>
      </c>
      <c r="E37" s="196">
        <v>8</v>
      </c>
      <c r="F37" s="196" t="s">
        <v>515</v>
      </c>
      <c r="G37" s="334" t="str">
        <f>IF(ISERROR((('Retail calculator'!$P$139/'Retail calculator'!$O$140)*'Activity database'!G38)+(('Retail calculator'!$O$139/'Retail calculator'!$O$140)*'Activity database'!G39)),"Requires building information",(('Retail calculator'!$P$139/'Retail calculator'!$O$140)*'Activity database'!G38)+(('Retail calculator'!$O$139/'Retail calculator'!$O$140)*'Activity database'!G39))</f>
        <v>Requires building information</v>
      </c>
      <c r="H37" s="341" t="str">
        <f>IF(ISERROR((('Retail calculator'!$P$139/'Retail calculator'!$O$140)*'Activity database'!H38)+(('Retail calculator'!$O$139/'Retail calculator'!$O$140)*'Activity database'!H39)),"Requires building information",(('Retail calculator'!$P$139/'Retail calculator'!$O$140)*'Activity database'!H38)+(('Retail calculator'!$O$139/'Retail calculator'!$O$140)*'Activity database'!H39))</f>
        <v>Requires building information</v>
      </c>
      <c r="I37" s="333" t="str">
        <f>IF(ISERROR((('Retail calculator'!$P$139/'Retail calculator'!$O$140)*'Activity database'!I38)+(('Retail calculator'!$O$139/'Retail calculator'!$O$140)*'Activity database'!I39)),"Requires building information",(('Retail calculator'!$P$139/'Retail calculator'!$O$140)*'Activity database'!I38)+(('Retail calculator'!$O$139/'Retail calculator'!$O$140)*'Activity database'!I39))</f>
        <v>Requires building information</v>
      </c>
      <c r="J37" s="333" t="str">
        <f>IF(ISERROR((('Retail calculator'!$P$139/'Retail calculator'!$O$140)*'Activity database'!J38)+(('Retail calculator'!$O$139/'Retail calculator'!$O$140)*'Activity database'!J39)),"Requires building information",(('Retail calculator'!$P$139/'Retail calculator'!$O$140)*'Activity database'!J38)+(('Retail calculator'!$O$139/'Retail calculator'!$O$140)*'Activity database'!J39))</f>
        <v>Requires building information</v>
      </c>
      <c r="K37" s="333" t="str">
        <f>IF(ISERROR((('Retail calculator'!$P$139/'Retail calculator'!$O$140)*'Activity database'!K38)+(('Retail calculator'!$O$139/'Retail calculator'!$O$140)*'Activity database'!K39)),"Requires building information",(('Retail calculator'!$P$139/'Retail calculator'!$O$140)*'Activity database'!K38)+(('Retail calculator'!$O$139/'Retail calculator'!$O$140)*'Activity database'!K39))</f>
        <v>Requires building information</v>
      </c>
      <c r="L37" s="333" t="str">
        <f>IF(ISERROR((('Retail calculator'!$P$139/'Retail calculator'!$O$140)*'Activity database'!L38)+(('Retail calculator'!$O$139/'Retail calculator'!$O$140)*'Activity database'!L39)),"Requires building information",(('Retail calculator'!$P$139/'Retail calculator'!$O$140)*'Activity database'!L38)+(('Retail calculator'!$O$139/'Retail calculator'!$O$140)*'Activity database'!L39))</f>
        <v>Requires building information</v>
      </c>
      <c r="M37" s="333" t="str">
        <f>IF(ISERROR((('Retail calculator'!$P$139/'Retail calculator'!$O$140)*'Activity database'!M38)+(('Retail calculator'!$O$139/'Retail calculator'!$O$140)*'Activity database'!M39)),"Requires building information",(('Retail calculator'!$P$139/'Retail calculator'!$O$140)*'Activity database'!M38)+(('Retail calculator'!$O$139/'Retail calculator'!$O$140)*'Activity database'!M39))</f>
        <v>Requires building information</v>
      </c>
      <c r="N37" s="342" t="str">
        <f>IF(ISERROR('Retail calculator'!$P$139/'Retail calculator'!$O$140)*'Activity database'!N38,"Requires building information",('Retail calculator'!$P$139/'Retail calculator'!$O$140)*'Activity database'!N38)</f>
        <v>Requires building information</v>
      </c>
      <c r="O37" s="198" t="s">
        <v>517</v>
      </c>
      <c r="P37" s="198" t="s">
        <v>517</v>
      </c>
      <c r="Q37" s="198" t="s">
        <v>517</v>
      </c>
      <c r="R37" s="198" t="s">
        <v>515</v>
      </c>
      <c r="S37" s="198" t="s">
        <v>515</v>
      </c>
      <c r="T37" s="198" t="s">
        <v>515</v>
      </c>
      <c r="U37" s="198" t="s">
        <v>515</v>
      </c>
      <c r="V37" s="198" t="s">
        <v>517</v>
      </c>
      <c r="W37" s="198" t="s">
        <v>515</v>
      </c>
      <c r="X37" s="335" t="str">
        <f>IF(ISERROR('Retail calculator'!$P$139/'Retail calculator'!$O$140)*'Activity database'!X38,"Requires building information",('Retail calculator'!$P$139/'Retail calculator'!$O$140)*'Activity database'!X38)</f>
        <v>Requires building information</v>
      </c>
      <c r="Y37" s="198" t="s">
        <v>515</v>
      </c>
      <c r="Z37" s="198" t="s">
        <v>515</v>
      </c>
      <c r="AA37" s="198">
        <v>1</v>
      </c>
      <c r="AB37" s="198">
        <v>1</v>
      </c>
      <c r="AC37" s="199">
        <v>0.25</v>
      </c>
      <c r="AD37" s="198">
        <v>5.6</v>
      </c>
      <c r="AE37" s="198">
        <v>4.37</v>
      </c>
      <c r="AF37" s="198">
        <v>1</v>
      </c>
      <c r="AG37" s="198">
        <v>1</v>
      </c>
      <c r="AH37" s="198" t="s">
        <v>515</v>
      </c>
      <c r="AI37" s="198" t="s">
        <v>515</v>
      </c>
      <c r="AJ37" s="198" t="s">
        <v>515</v>
      </c>
      <c r="AK37" s="198" t="s">
        <v>515</v>
      </c>
      <c r="AL37" s="198" t="s">
        <v>515</v>
      </c>
      <c r="AM37" s="198" t="s">
        <v>515</v>
      </c>
      <c r="AN37" s="198">
        <f>AN38</f>
        <v>1</v>
      </c>
      <c r="AO37" s="198" t="s">
        <v>515</v>
      </c>
      <c r="AP37" s="198" t="s">
        <v>515</v>
      </c>
      <c r="AQ37" s="197">
        <v>0.4</v>
      </c>
      <c r="AR37" s="199">
        <v>0.67700000000000005</v>
      </c>
      <c r="AS37" s="304"/>
      <c r="AU37" s="305"/>
      <c r="AV37" s="306"/>
      <c r="AW37" s="305"/>
      <c r="BB37" s="307"/>
      <c r="BC37" s="307"/>
      <c r="BD37" s="307"/>
      <c r="BE37" s="307"/>
      <c r="BF37" s="307"/>
      <c r="BG37" s="307"/>
      <c r="BH37" s="307"/>
      <c r="BI37" s="307"/>
      <c r="BJ37" s="307"/>
      <c r="BK37" s="307"/>
      <c r="BL37" s="307"/>
      <c r="BM37" s="307"/>
      <c r="BN37" s="307"/>
      <c r="BO37" s="538" t="s">
        <v>622</v>
      </c>
      <c r="BP37" s="539"/>
      <c r="BQ37" s="49"/>
      <c r="BR37" s="538" t="s">
        <v>623</v>
      </c>
      <c r="BS37" s="539"/>
    </row>
    <row r="38" spans="1:71" s="68" customFormat="1" ht="14.25" customHeight="1" x14ac:dyDescent="0.2">
      <c r="A38" s="329"/>
      <c r="B38" s="323"/>
      <c r="C38" s="196" t="s">
        <v>515</v>
      </c>
      <c r="D38" s="196" t="s">
        <v>515</v>
      </c>
      <c r="E38" s="196" t="s">
        <v>515</v>
      </c>
      <c r="F38" s="267" t="s">
        <v>516</v>
      </c>
      <c r="G38" s="197">
        <v>0.5</v>
      </c>
      <c r="H38" s="197">
        <v>0.5</v>
      </c>
      <c r="I38" s="198">
        <v>1</v>
      </c>
      <c r="J38" s="198">
        <v>4</v>
      </c>
      <c r="K38" s="198">
        <v>4</v>
      </c>
      <c r="L38" s="198">
        <v>3</v>
      </c>
      <c r="M38" s="198">
        <v>4</v>
      </c>
      <c r="N38" s="198">
        <v>0.03</v>
      </c>
      <c r="O38" s="198" t="s">
        <v>517</v>
      </c>
      <c r="P38" s="198" t="s">
        <v>517</v>
      </c>
      <c r="Q38" s="198" t="s">
        <v>517</v>
      </c>
      <c r="R38" s="198" t="s">
        <v>515</v>
      </c>
      <c r="S38" s="198" t="s">
        <v>515</v>
      </c>
      <c r="T38" s="198" t="s">
        <v>515</v>
      </c>
      <c r="U38" s="198" t="s">
        <v>515</v>
      </c>
      <c r="V38" s="198" t="s">
        <v>517</v>
      </c>
      <c r="W38" s="198" t="s">
        <v>515</v>
      </c>
      <c r="X38" s="198">
        <v>1.58</v>
      </c>
      <c r="Y38" s="198" t="s">
        <v>515</v>
      </c>
      <c r="Z38" s="198" t="s">
        <v>515</v>
      </c>
      <c r="AA38" s="198" t="s">
        <v>515</v>
      </c>
      <c r="AB38" s="198" t="s">
        <v>515</v>
      </c>
      <c r="AC38" s="198" t="s">
        <v>515</v>
      </c>
      <c r="AD38" s="198" t="s">
        <v>515</v>
      </c>
      <c r="AE38" s="198" t="s">
        <v>515</v>
      </c>
      <c r="AF38" s="198" t="s">
        <v>515</v>
      </c>
      <c r="AG38" s="198" t="s">
        <v>515</v>
      </c>
      <c r="AH38" s="198" t="s">
        <v>515</v>
      </c>
      <c r="AI38" s="198" t="s">
        <v>515</v>
      </c>
      <c r="AJ38" s="198" t="s">
        <v>515</v>
      </c>
      <c r="AK38" s="198" t="s">
        <v>515</v>
      </c>
      <c r="AL38" s="198" t="s">
        <v>515</v>
      </c>
      <c r="AM38" s="198" t="s">
        <v>515</v>
      </c>
      <c r="AN38" s="198">
        <v>1</v>
      </c>
      <c r="AO38" s="198" t="s">
        <v>515</v>
      </c>
      <c r="AP38" s="198" t="s">
        <v>515</v>
      </c>
      <c r="AQ38" s="198" t="s">
        <v>515</v>
      </c>
      <c r="AR38" s="198" t="s">
        <v>515</v>
      </c>
      <c r="AS38" s="304"/>
      <c r="AU38" s="305"/>
      <c r="AV38" s="306"/>
      <c r="AW38" s="305"/>
      <c r="BB38" s="307"/>
      <c r="BC38" s="307"/>
      <c r="BD38" s="307"/>
      <c r="BE38" s="307"/>
      <c r="BF38" s="307"/>
      <c r="BG38" s="307"/>
      <c r="BH38" s="307"/>
      <c r="BI38" s="307"/>
      <c r="BJ38" s="307"/>
      <c r="BK38" s="307"/>
      <c r="BL38" s="307"/>
      <c r="BM38" s="307"/>
      <c r="BN38" s="307"/>
      <c r="BO38" s="511">
        <v>0</v>
      </c>
      <c r="BP38" s="502" t="s">
        <v>519</v>
      </c>
      <c r="BR38" s="511">
        <v>0</v>
      </c>
      <c r="BS38" s="502" t="s">
        <v>519</v>
      </c>
    </row>
    <row r="39" spans="1:71" s="68" customFormat="1" ht="14.25" customHeight="1" x14ac:dyDescent="0.2">
      <c r="A39" s="329"/>
      <c r="B39" s="323"/>
      <c r="C39" s="196" t="s">
        <v>515</v>
      </c>
      <c r="D39" s="196" t="s">
        <v>515</v>
      </c>
      <c r="E39" s="196" t="s">
        <v>515</v>
      </c>
      <c r="F39" s="267" t="s">
        <v>616</v>
      </c>
      <c r="G39" s="197">
        <v>0.35</v>
      </c>
      <c r="H39" s="197">
        <v>0.65</v>
      </c>
      <c r="I39" s="198">
        <v>0.1333</v>
      </c>
      <c r="J39" s="198">
        <v>0.8</v>
      </c>
      <c r="K39" s="198">
        <v>0.8</v>
      </c>
      <c r="L39" s="198">
        <v>0.66700000000000004</v>
      </c>
      <c r="M39" s="198">
        <v>0.8</v>
      </c>
      <c r="N39" s="198" t="s">
        <v>515</v>
      </c>
      <c r="O39" s="198" t="s">
        <v>517</v>
      </c>
      <c r="P39" s="198" t="s">
        <v>517</v>
      </c>
      <c r="Q39" s="198" t="s">
        <v>517</v>
      </c>
      <c r="R39" s="198" t="s">
        <v>515</v>
      </c>
      <c r="S39" s="198" t="s">
        <v>515</v>
      </c>
      <c r="T39" s="198" t="s">
        <v>515</v>
      </c>
      <c r="U39" s="198" t="s">
        <v>515</v>
      </c>
      <c r="V39" s="198" t="s">
        <v>517</v>
      </c>
      <c r="W39" s="198" t="s">
        <v>515</v>
      </c>
      <c r="X39" s="198" t="s">
        <v>515</v>
      </c>
      <c r="Y39" s="198" t="s">
        <v>515</v>
      </c>
      <c r="Z39" s="198" t="s">
        <v>515</v>
      </c>
      <c r="AA39" s="198" t="s">
        <v>515</v>
      </c>
      <c r="AB39" s="198" t="s">
        <v>515</v>
      </c>
      <c r="AC39" s="198" t="s">
        <v>515</v>
      </c>
      <c r="AD39" s="198" t="s">
        <v>515</v>
      </c>
      <c r="AE39" s="198" t="s">
        <v>515</v>
      </c>
      <c r="AF39" s="198" t="s">
        <v>515</v>
      </c>
      <c r="AG39" s="198" t="s">
        <v>515</v>
      </c>
      <c r="AH39" s="198" t="s">
        <v>515</v>
      </c>
      <c r="AI39" s="198" t="s">
        <v>515</v>
      </c>
      <c r="AJ39" s="198" t="s">
        <v>515</v>
      </c>
      <c r="AK39" s="198" t="s">
        <v>515</v>
      </c>
      <c r="AL39" s="198" t="s">
        <v>515</v>
      </c>
      <c r="AM39" s="198" t="s">
        <v>515</v>
      </c>
      <c r="AN39" s="198" t="s">
        <v>515</v>
      </c>
      <c r="AO39" s="198" t="s">
        <v>515</v>
      </c>
      <c r="AP39" s="198" t="s">
        <v>515</v>
      </c>
      <c r="AQ39" s="198" t="s">
        <v>515</v>
      </c>
      <c r="AR39" s="198" t="s">
        <v>515</v>
      </c>
      <c r="AS39" s="304"/>
      <c r="AU39" s="305"/>
      <c r="AV39" s="306"/>
      <c r="AW39" s="305"/>
      <c r="BB39" s="307"/>
      <c r="BC39" s="307"/>
      <c r="BD39" s="307"/>
      <c r="BE39" s="307"/>
      <c r="BF39" s="307"/>
      <c r="BG39" s="307"/>
      <c r="BH39" s="307"/>
      <c r="BI39" s="307"/>
      <c r="BJ39" s="307"/>
      <c r="BK39" s="307"/>
      <c r="BL39" s="307"/>
      <c r="BM39" s="307"/>
      <c r="BN39" s="307"/>
      <c r="BO39" s="511">
        <v>0.125</v>
      </c>
      <c r="BP39" s="502" t="s">
        <v>523</v>
      </c>
      <c r="BR39" s="511">
        <v>0.125</v>
      </c>
      <c r="BS39" s="502" t="s">
        <v>523</v>
      </c>
    </row>
    <row r="40" spans="1:71" s="68" customFormat="1" ht="33.75" customHeight="1" x14ac:dyDescent="0.2">
      <c r="A40" s="328" t="s">
        <v>624</v>
      </c>
      <c r="B40" s="323" t="s">
        <v>625</v>
      </c>
      <c r="C40" s="196" t="s">
        <v>515</v>
      </c>
      <c r="D40" s="196">
        <v>362</v>
      </c>
      <c r="E40" s="196">
        <v>9</v>
      </c>
      <c r="F40" s="196" t="s">
        <v>515</v>
      </c>
      <c r="G40" s="334" t="str">
        <f>IF(ISERROR((('Retail calculator'!$P$139/'Retail calculator'!$O$140)*'Activity database'!G41)+(('Retail calculator'!$O$139/'Retail calculator'!$O$140)*'Activity database'!G42)),"Requires building information",(('Retail calculator'!$P$139/'Retail calculator'!$O$140)*'Activity database'!G41)+(('Retail calculator'!$O$139/'Retail calculator'!$O$140)*'Activity database'!G42))</f>
        <v>Requires building information</v>
      </c>
      <c r="H40" s="341" t="str">
        <f>IF(ISERROR((('Retail calculator'!$P$139/'Retail calculator'!$O$140)*'Activity database'!H41)+(('Retail calculator'!$O$139/'Retail calculator'!$O$140)*'Activity database'!H42)),"Requires building information",(('Retail calculator'!$P$139/'Retail calculator'!$O$140)*'Activity database'!H41)+(('Retail calculator'!$O$139/'Retail calculator'!$O$140)*'Activity database'!H42))</f>
        <v>Requires building information</v>
      </c>
      <c r="I40" s="333" t="str">
        <f>IF(ISERROR((('Retail calculator'!$P$139/'Retail calculator'!$O$140)*'Activity database'!I41)+(('Retail calculator'!$O$139/'Retail calculator'!$O$140)*'Activity database'!I42)),"Requires building information",(('Retail calculator'!$P$139/'Retail calculator'!$O$140)*'Activity database'!I41)+(('Retail calculator'!$O$139/'Retail calculator'!$O$140)*'Activity database'!I42))</f>
        <v>Requires building information</v>
      </c>
      <c r="J40" s="333" t="str">
        <f>IF(ISERROR((('Retail calculator'!$P$139/'Retail calculator'!$O$140)*'Activity database'!J41)+(('Retail calculator'!$O$139/'Retail calculator'!$O$140)*'Activity database'!J42)),"Requires building information",(('Retail calculator'!$P$139/'Retail calculator'!$O$140)*'Activity database'!J41)+(('Retail calculator'!$O$139/'Retail calculator'!$O$140)*'Activity database'!J42))</f>
        <v>Requires building information</v>
      </c>
      <c r="K40" s="333" t="str">
        <f>IF(ISERROR((('Retail calculator'!$P$139/'Retail calculator'!$O$140)*'Activity database'!K41)+(('Retail calculator'!$O$139/'Retail calculator'!$O$140)*'Activity database'!K42)),"Requires building information",(('Retail calculator'!$P$139/'Retail calculator'!$O$140)*'Activity database'!K41)+(('Retail calculator'!$O$139/'Retail calculator'!$O$140)*'Activity database'!K42))</f>
        <v>Requires building information</v>
      </c>
      <c r="L40" s="333" t="str">
        <f>IF(ISERROR((('Retail calculator'!$P$139/'Retail calculator'!$O$140)*'Activity database'!L41)+(('Retail calculator'!$O$139/'Retail calculator'!$O$140)*'Activity database'!L42)),"Requires building information",(('Retail calculator'!$P$139/'Retail calculator'!$O$140)*'Activity database'!L41)+(('Retail calculator'!$O$139/'Retail calculator'!$O$140)*'Activity database'!L42))</f>
        <v>Requires building information</v>
      </c>
      <c r="M40" s="333" t="str">
        <f>IF(ISERROR((('Retail calculator'!$P$139/'Retail calculator'!$O$140)*'Activity database'!M41)+(('Retail calculator'!$O$139/'Retail calculator'!$O$140)*'Activity database'!M42)),"Requires building information",(('Retail calculator'!$P$139/'Retail calculator'!$O$140)*'Activity database'!M41)+(('Retail calculator'!$O$139/'Retail calculator'!$O$140)*'Activity database'!M42))</f>
        <v>Requires building information</v>
      </c>
      <c r="N40" s="342" t="str">
        <f>IF(ISERROR('Retail calculator'!$P$139/'Retail calculator'!$O$140)*'Activity database'!N41,"Requires building information",('Retail calculator'!$P$139/'Retail calculator'!$O$140)*'Activity database'!N41)</f>
        <v>Requires building information</v>
      </c>
      <c r="O40" s="198" t="s">
        <v>517</v>
      </c>
      <c r="P40" s="198" t="s">
        <v>517</v>
      </c>
      <c r="Q40" s="198" t="s">
        <v>517</v>
      </c>
      <c r="R40" s="198" t="s">
        <v>515</v>
      </c>
      <c r="S40" s="198" t="s">
        <v>515</v>
      </c>
      <c r="T40" s="198" t="s">
        <v>515</v>
      </c>
      <c r="U40" s="198" t="s">
        <v>515</v>
      </c>
      <c r="V40" s="198" t="s">
        <v>517</v>
      </c>
      <c r="W40" s="198" t="s">
        <v>515</v>
      </c>
      <c r="X40" s="335" t="str">
        <f>IF(ISERROR('Retail calculator'!$P$139/'Retail calculator'!$O$140)*'Activity database'!X41,"Requires building information",('Retail calculator'!$P$139/'Retail calculator'!$O$140)*'Activity database'!X41)</f>
        <v>Requires building information</v>
      </c>
      <c r="Y40" s="198" t="s">
        <v>515</v>
      </c>
      <c r="Z40" s="198" t="s">
        <v>515</v>
      </c>
      <c r="AA40" s="198">
        <v>1</v>
      </c>
      <c r="AB40" s="198">
        <v>1</v>
      </c>
      <c r="AC40" s="199">
        <v>0.25</v>
      </c>
      <c r="AD40" s="198">
        <v>5.6</v>
      </c>
      <c r="AE40" s="198">
        <v>4.37</v>
      </c>
      <c r="AF40" s="198">
        <v>1</v>
      </c>
      <c r="AG40" s="198">
        <v>1</v>
      </c>
      <c r="AH40" s="198" t="s">
        <v>515</v>
      </c>
      <c r="AI40" s="198" t="s">
        <v>515</v>
      </c>
      <c r="AJ40" s="198" t="s">
        <v>515</v>
      </c>
      <c r="AK40" s="198" t="s">
        <v>515</v>
      </c>
      <c r="AL40" s="198" t="s">
        <v>515</v>
      </c>
      <c r="AM40" s="198" t="s">
        <v>515</v>
      </c>
      <c r="AN40" s="198">
        <f>AN41</f>
        <v>1</v>
      </c>
      <c r="AO40" s="198" t="s">
        <v>515</v>
      </c>
      <c r="AP40" s="198" t="s">
        <v>515</v>
      </c>
      <c r="AQ40" s="197">
        <v>0.4</v>
      </c>
      <c r="AR40" s="199">
        <v>0.67700000000000005</v>
      </c>
      <c r="AS40" s="304"/>
      <c r="AU40" s="305"/>
      <c r="AV40" s="306"/>
      <c r="AW40" s="305"/>
      <c r="BB40" s="307"/>
      <c r="BC40" s="307"/>
      <c r="BD40" s="307"/>
      <c r="BE40" s="307"/>
      <c r="BF40" s="307"/>
      <c r="BG40" s="307"/>
      <c r="BH40" s="307"/>
      <c r="BI40" s="307"/>
      <c r="BJ40" s="307"/>
      <c r="BK40" s="307"/>
      <c r="BL40" s="307"/>
      <c r="BM40" s="307"/>
      <c r="BN40" s="307"/>
      <c r="BO40" s="511">
        <v>0.25</v>
      </c>
      <c r="BP40" s="502" t="s">
        <v>528</v>
      </c>
      <c r="BR40" s="511">
        <v>0.25</v>
      </c>
      <c r="BS40" s="502" t="s">
        <v>528</v>
      </c>
    </row>
    <row r="41" spans="1:71" s="68" customFormat="1" ht="15.75" customHeight="1" x14ac:dyDescent="0.2">
      <c r="A41" s="324"/>
      <c r="B41" s="323"/>
      <c r="C41" s="196" t="s">
        <v>515</v>
      </c>
      <c r="D41" s="196" t="s">
        <v>515</v>
      </c>
      <c r="E41" s="196" t="s">
        <v>515</v>
      </c>
      <c r="F41" s="267" t="s">
        <v>516</v>
      </c>
      <c r="G41" s="197">
        <v>0.5</v>
      </c>
      <c r="H41" s="197">
        <v>0.5</v>
      </c>
      <c r="I41" s="198">
        <v>1</v>
      </c>
      <c r="J41" s="198">
        <v>4</v>
      </c>
      <c r="K41" s="198">
        <v>4</v>
      </c>
      <c r="L41" s="198">
        <v>3</v>
      </c>
      <c r="M41" s="198">
        <v>4</v>
      </c>
      <c r="N41" s="198">
        <v>0.03</v>
      </c>
      <c r="O41" s="198" t="s">
        <v>517</v>
      </c>
      <c r="P41" s="198" t="s">
        <v>517</v>
      </c>
      <c r="Q41" s="198" t="s">
        <v>517</v>
      </c>
      <c r="R41" s="198" t="s">
        <v>515</v>
      </c>
      <c r="S41" s="198" t="s">
        <v>515</v>
      </c>
      <c r="T41" s="198" t="s">
        <v>515</v>
      </c>
      <c r="U41" s="198" t="s">
        <v>515</v>
      </c>
      <c r="V41" s="198" t="s">
        <v>517</v>
      </c>
      <c r="W41" s="198" t="s">
        <v>515</v>
      </c>
      <c r="X41" s="198">
        <v>1.58</v>
      </c>
      <c r="Y41" s="198" t="s">
        <v>515</v>
      </c>
      <c r="Z41" s="198" t="s">
        <v>515</v>
      </c>
      <c r="AA41" s="198" t="s">
        <v>515</v>
      </c>
      <c r="AB41" s="198" t="s">
        <v>515</v>
      </c>
      <c r="AC41" s="198" t="s">
        <v>515</v>
      </c>
      <c r="AD41" s="198" t="s">
        <v>515</v>
      </c>
      <c r="AE41" s="198" t="s">
        <v>515</v>
      </c>
      <c r="AF41" s="198" t="s">
        <v>515</v>
      </c>
      <c r="AG41" s="198" t="s">
        <v>515</v>
      </c>
      <c r="AH41" s="198" t="s">
        <v>515</v>
      </c>
      <c r="AI41" s="198" t="s">
        <v>515</v>
      </c>
      <c r="AJ41" s="198" t="s">
        <v>515</v>
      </c>
      <c r="AK41" s="198" t="s">
        <v>515</v>
      </c>
      <c r="AL41" s="198" t="s">
        <v>515</v>
      </c>
      <c r="AM41" s="198" t="s">
        <v>515</v>
      </c>
      <c r="AN41" s="198">
        <v>1</v>
      </c>
      <c r="AO41" s="198" t="s">
        <v>515</v>
      </c>
      <c r="AP41" s="198" t="s">
        <v>515</v>
      </c>
      <c r="AQ41" s="198" t="s">
        <v>515</v>
      </c>
      <c r="AR41" s="198" t="s">
        <v>515</v>
      </c>
      <c r="AS41" s="304"/>
      <c r="AU41" s="305"/>
      <c r="AV41" s="306"/>
      <c r="AW41" s="305"/>
      <c r="BB41" s="307"/>
      <c r="BC41" s="307"/>
      <c r="BD41" s="307"/>
      <c r="BE41" s="307"/>
      <c r="BF41" s="307"/>
      <c r="BG41" s="307"/>
      <c r="BH41" s="307"/>
      <c r="BI41" s="307"/>
      <c r="BJ41" s="307"/>
      <c r="BK41" s="307"/>
      <c r="BL41" s="307"/>
      <c r="BM41" s="307"/>
      <c r="BN41" s="307"/>
      <c r="BO41" s="511">
        <v>0.35</v>
      </c>
      <c r="BP41" s="502" t="s">
        <v>533</v>
      </c>
      <c r="BR41" s="511">
        <v>0.35</v>
      </c>
      <c r="BS41" s="502" t="s">
        <v>533</v>
      </c>
    </row>
    <row r="42" spans="1:71" s="68" customFormat="1" ht="15.75" customHeight="1" x14ac:dyDescent="0.2">
      <c r="A42" s="325"/>
      <c r="B42" s="323"/>
      <c r="C42" s="196" t="s">
        <v>515</v>
      </c>
      <c r="D42" s="196" t="s">
        <v>515</v>
      </c>
      <c r="E42" s="196" t="s">
        <v>515</v>
      </c>
      <c r="F42" s="267" t="s">
        <v>616</v>
      </c>
      <c r="G42" s="197">
        <v>0.35</v>
      </c>
      <c r="H42" s="197">
        <v>0.65</v>
      </c>
      <c r="I42" s="198">
        <v>0.1333</v>
      </c>
      <c r="J42" s="198">
        <v>0.8</v>
      </c>
      <c r="K42" s="198">
        <v>0.8</v>
      </c>
      <c r="L42" s="198">
        <v>0.66700000000000004</v>
      </c>
      <c r="M42" s="198">
        <v>0.8</v>
      </c>
      <c r="N42" s="198" t="s">
        <v>515</v>
      </c>
      <c r="O42" s="198" t="s">
        <v>517</v>
      </c>
      <c r="P42" s="198" t="s">
        <v>517</v>
      </c>
      <c r="Q42" s="198" t="s">
        <v>517</v>
      </c>
      <c r="R42" s="198" t="s">
        <v>515</v>
      </c>
      <c r="S42" s="198" t="s">
        <v>515</v>
      </c>
      <c r="T42" s="198" t="s">
        <v>515</v>
      </c>
      <c r="U42" s="198" t="s">
        <v>515</v>
      </c>
      <c r="V42" s="198" t="s">
        <v>517</v>
      </c>
      <c r="W42" s="198" t="s">
        <v>515</v>
      </c>
      <c r="X42" s="198" t="s">
        <v>515</v>
      </c>
      <c r="Y42" s="198" t="s">
        <v>515</v>
      </c>
      <c r="Z42" s="198" t="s">
        <v>515</v>
      </c>
      <c r="AA42" s="198" t="s">
        <v>515</v>
      </c>
      <c r="AB42" s="198" t="s">
        <v>515</v>
      </c>
      <c r="AC42" s="198" t="s">
        <v>515</v>
      </c>
      <c r="AD42" s="198" t="s">
        <v>515</v>
      </c>
      <c r="AE42" s="198" t="s">
        <v>515</v>
      </c>
      <c r="AF42" s="198" t="s">
        <v>515</v>
      </c>
      <c r="AG42" s="198" t="s">
        <v>515</v>
      </c>
      <c r="AH42" s="198" t="s">
        <v>515</v>
      </c>
      <c r="AI42" s="198" t="s">
        <v>515</v>
      </c>
      <c r="AJ42" s="198" t="s">
        <v>515</v>
      </c>
      <c r="AK42" s="198" t="s">
        <v>515</v>
      </c>
      <c r="AL42" s="198" t="s">
        <v>515</v>
      </c>
      <c r="AM42" s="198" t="s">
        <v>515</v>
      </c>
      <c r="AN42" s="198" t="s">
        <v>515</v>
      </c>
      <c r="AO42" s="198" t="s">
        <v>515</v>
      </c>
      <c r="AP42" s="198" t="s">
        <v>515</v>
      </c>
      <c r="AQ42" s="198" t="s">
        <v>515</v>
      </c>
      <c r="AR42" s="198" t="s">
        <v>515</v>
      </c>
      <c r="AS42" s="304"/>
      <c r="AU42" s="305"/>
      <c r="AV42" s="306"/>
      <c r="AW42" s="305"/>
      <c r="BB42" s="307"/>
      <c r="BC42" s="307"/>
      <c r="BD42" s="307"/>
      <c r="BE42" s="307"/>
      <c r="BF42" s="307"/>
      <c r="BG42" s="307"/>
      <c r="BH42" s="307"/>
      <c r="BI42" s="307"/>
      <c r="BJ42" s="307"/>
      <c r="BK42" s="307"/>
      <c r="BL42" s="307"/>
      <c r="BM42" s="307"/>
      <c r="BN42" s="307"/>
      <c r="BO42" s="511">
        <v>0.45</v>
      </c>
      <c r="BP42" s="502" t="s">
        <v>538</v>
      </c>
      <c r="BR42" s="511">
        <v>0.4</v>
      </c>
      <c r="BS42" s="502" t="s">
        <v>538</v>
      </c>
    </row>
    <row r="43" spans="1:71" s="68" customFormat="1" ht="38.25" customHeight="1" x14ac:dyDescent="0.2">
      <c r="A43" s="327" t="s">
        <v>626</v>
      </c>
      <c r="B43" s="310" t="s">
        <v>627</v>
      </c>
      <c r="C43" s="309">
        <v>0.14299999999999999</v>
      </c>
      <c r="D43" s="207"/>
      <c r="E43" s="207"/>
      <c r="F43" s="207"/>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9"/>
      <c r="AE43" s="209"/>
      <c r="AF43" s="209"/>
      <c r="AG43" s="209"/>
      <c r="AH43" s="209"/>
      <c r="AI43" s="209"/>
      <c r="AJ43" s="209"/>
      <c r="AK43" s="209"/>
      <c r="AL43" s="209"/>
      <c r="AM43" s="209"/>
      <c r="AN43" s="209"/>
      <c r="AO43" s="209"/>
      <c r="AP43" s="209"/>
      <c r="AQ43" s="209"/>
      <c r="AR43" s="209"/>
      <c r="AS43" s="304"/>
      <c r="BB43" s="307"/>
      <c r="BC43" s="307"/>
      <c r="BD43" s="307"/>
      <c r="BE43" s="307"/>
      <c r="BF43" s="307"/>
      <c r="BG43" s="307"/>
      <c r="BH43" s="307"/>
      <c r="BI43" s="307"/>
      <c r="BJ43" s="307"/>
      <c r="BK43" s="307"/>
      <c r="BL43" s="307"/>
      <c r="BM43" s="307"/>
      <c r="BN43" s="307"/>
      <c r="BO43" s="511">
        <v>0.55000000000000004</v>
      </c>
      <c r="BP43" s="502" t="s">
        <v>543</v>
      </c>
      <c r="BR43" s="511">
        <v>0.5</v>
      </c>
      <c r="BS43" s="502" t="s">
        <v>543</v>
      </c>
    </row>
    <row r="44" spans="1:71" s="68" customFormat="1" ht="36" customHeight="1" x14ac:dyDescent="0.2">
      <c r="A44" s="310" t="s">
        <v>628</v>
      </c>
      <c r="B44" s="310" t="s">
        <v>629</v>
      </c>
      <c r="C44" s="309">
        <v>0.5</v>
      </c>
      <c r="D44" s="207"/>
      <c r="E44" s="207"/>
      <c r="F44" s="207"/>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9"/>
      <c r="AE44" s="209"/>
      <c r="AF44" s="209"/>
      <c r="AG44" s="209"/>
      <c r="AH44" s="209"/>
      <c r="AI44" s="209"/>
      <c r="AJ44" s="209"/>
      <c r="AK44" s="209"/>
      <c r="AL44" s="209"/>
      <c r="AM44" s="209"/>
      <c r="AN44" s="209"/>
      <c r="AO44" s="209"/>
      <c r="AP44" s="209"/>
      <c r="AQ44" s="209"/>
      <c r="AR44" s="209"/>
      <c r="AS44" s="304"/>
      <c r="BO44" s="511">
        <v>0.65</v>
      </c>
      <c r="BP44" s="502" t="s">
        <v>548</v>
      </c>
      <c r="BR44" s="511">
        <v>0.6</v>
      </c>
      <c r="BS44" s="502" t="s">
        <v>548</v>
      </c>
    </row>
    <row r="45" spans="1:71" s="68" customFormat="1" ht="32.15" customHeight="1" x14ac:dyDescent="0.2">
      <c r="A45" s="310" t="s">
        <v>630</v>
      </c>
      <c r="B45" s="310" t="s">
        <v>631</v>
      </c>
      <c r="C45" s="309">
        <v>1.43</v>
      </c>
      <c r="D45" s="207"/>
      <c r="E45" s="207"/>
      <c r="F45" s="207"/>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9"/>
      <c r="AE45" s="209"/>
      <c r="AF45" s="209"/>
      <c r="AG45" s="209"/>
      <c r="AH45" s="209"/>
      <c r="AI45" s="209"/>
      <c r="AJ45" s="209"/>
      <c r="AK45" s="209"/>
      <c r="AL45" s="209"/>
      <c r="AM45" s="209"/>
      <c r="AN45" s="209"/>
      <c r="AO45" s="209"/>
      <c r="AP45" s="209"/>
      <c r="AQ45" s="209"/>
      <c r="AR45" s="209"/>
      <c r="AS45" s="304"/>
      <c r="BO45" s="45"/>
      <c r="BP45" s="308"/>
    </row>
    <row r="46" spans="1:71" s="68" customFormat="1" ht="32.15" customHeight="1" x14ac:dyDescent="0.2">
      <c r="A46" s="310" t="s">
        <v>632</v>
      </c>
      <c r="B46" s="310" t="s">
        <v>633</v>
      </c>
      <c r="C46" s="309">
        <v>9.5142857142857168E-2</v>
      </c>
      <c r="D46" s="207"/>
      <c r="E46" s="207"/>
      <c r="F46" s="207"/>
      <c r="G46" s="208"/>
      <c r="H46" s="208"/>
      <c r="I46" s="208"/>
      <c r="J46" s="208"/>
      <c r="K46" s="208"/>
      <c r="L46" s="208"/>
      <c r="M46" s="208"/>
      <c r="N46" s="208"/>
      <c r="O46" s="208"/>
      <c r="P46" s="208"/>
      <c r="Q46" s="208"/>
      <c r="R46" s="299" t="str">
        <f>IF(ISERROR('Retail calculator'!$P$139/'Retail calculator'!$O$140)*1,"Requires building information",('Retail calculator'!$P$139/'Retail calculator'!$O$140)*1)</f>
        <v>Requires building information</v>
      </c>
      <c r="S46" s="208"/>
      <c r="T46" s="208"/>
      <c r="U46" s="295" t="str">
        <f>IF(ISERROR('Retail calculator'!$P$139/'Retail calculator'!$O$140)*0.04,"Requires building information",('Retail calculator'!$P$139/'Retail calculator'!$O$140)*0.04)</f>
        <v>Requires building information</v>
      </c>
      <c r="V46" s="208"/>
      <c r="W46" s="208"/>
      <c r="X46" s="208"/>
      <c r="Y46" s="208"/>
      <c r="Z46" s="208"/>
      <c r="AA46" s="208"/>
      <c r="AB46" s="208"/>
      <c r="AC46" s="208"/>
      <c r="AD46" s="209"/>
      <c r="AE46" s="209"/>
      <c r="AF46" s="209"/>
      <c r="AG46" s="209"/>
      <c r="AH46" s="203">
        <v>0.67</v>
      </c>
      <c r="AI46" s="209"/>
      <c r="AJ46" s="209"/>
      <c r="AK46" s="203">
        <v>1</v>
      </c>
      <c r="AL46" s="203" t="s">
        <v>517</v>
      </c>
      <c r="AM46" s="209"/>
      <c r="AN46" s="209"/>
      <c r="AO46" s="209"/>
      <c r="AP46" s="209"/>
      <c r="AQ46" s="209"/>
      <c r="AR46" s="209"/>
      <c r="AS46" s="304"/>
      <c r="BO46" s="45"/>
      <c r="BP46" s="308"/>
    </row>
    <row r="47" spans="1:71" s="68" customFormat="1" ht="32.15" customHeight="1" x14ac:dyDescent="0.2">
      <c r="A47" s="310" t="s">
        <v>634</v>
      </c>
      <c r="B47" s="310" t="s">
        <v>635</v>
      </c>
      <c r="C47" s="84">
        <v>4.9700000000000001E-2</v>
      </c>
      <c r="D47" s="207"/>
      <c r="E47" s="207"/>
      <c r="F47" s="207"/>
      <c r="G47" s="208"/>
      <c r="H47" s="208"/>
      <c r="I47" s="208"/>
      <c r="J47" s="208"/>
      <c r="K47" s="208"/>
      <c r="L47" s="208"/>
      <c r="M47" s="208"/>
      <c r="N47" s="208"/>
      <c r="O47" s="208"/>
      <c r="P47" s="208"/>
      <c r="Q47" s="208"/>
      <c r="R47" s="208"/>
      <c r="S47" s="203" t="s">
        <v>527</v>
      </c>
      <c r="T47" s="208"/>
      <c r="U47" s="203" t="s">
        <v>527</v>
      </c>
      <c r="V47" s="202" t="s">
        <v>517</v>
      </c>
      <c r="W47" s="203" t="s">
        <v>527</v>
      </c>
      <c r="X47" s="208"/>
      <c r="Y47" s="203" t="str">
        <f>IF('Retail calculator'!F23="yes",'Retail calculator'!G23*0.993*2.674,"see note")</f>
        <v>see note</v>
      </c>
      <c r="Z47" s="203" t="str">
        <f>IF('Retail calculator'!F23="yes",'Retail calculator'!G23*6.314*0.993,"See note")</f>
        <v>See note</v>
      </c>
      <c r="AA47" s="208"/>
      <c r="AB47" s="208"/>
      <c r="AC47" s="208"/>
      <c r="AD47" s="209"/>
      <c r="AE47" s="209"/>
      <c r="AF47" s="209"/>
      <c r="AG47" s="209"/>
      <c r="AH47" s="209"/>
      <c r="AI47" s="203">
        <v>60</v>
      </c>
      <c r="AJ47" s="209"/>
      <c r="AK47" s="205">
        <v>0.248</v>
      </c>
      <c r="AL47" s="203" t="s">
        <v>517</v>
      </c>
      <c r="AM47" s="203">
        <v>30</v>
      </c>
      <c r="AN47" s="209"/>
      <c r="AO47" s="203">
        <v>1</v>
      </c>
      <c r="AP47" s="203">
        <v>1</v>
      </c>
      <c r="AQ47" s="209"/>
      <c r="AR47" s="209"/>
      <c r="AS47" s="304"/>
      <c r="BO47" s="49"/>
      <c r="BP47" s="308"/>
    </row>
    <row r="48" spans="1:71" s="68" customFormat="1" ht="32.15" customHeight="1" x14ac:dyDescent="0.2">
      <c r="A48" s="310" t="s">
        <v>636</v>
      </c>
      <c r="B48" s="310" t="s">
        <v>637</v>
      </c>
      <c r="C48" s="309">
        <v>1.0999999999999999E-2</v>
      </c>
      <c r="D48" s="207"/>
      <c r="E48" s="207"/>
      <c r="F48" s="207"/>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9"/>
      <c r="AE48" s="209"/>
      <c r="AF48" s="209"/>
      <c r="AG48" s="209"/>
      <c r="AH48" s="209"/>
      <c r="AI48" s="209"/>
      <c r="AJ48" s="209"/>
      <c r="AK48" s="209"/>
      <c r="AL48" s="209"/>
      <c r="AM48" s="209"/>
      <c r="AN48" s="209"/>
      <c r="AO48" s="209"/>
      <c r="AP48" s="209"/>
      <c r="AQ48" s="209"/>
      <c r="AR48" s="209"/>
      <c r="AS48" s="304"/>
      <c r="BO48" s="49"/>
      <c r="BP48" s="308"/>
    </row>
    <row r="49" spans="1:69" s="68" customFormat="1" ht="32.15" customHeight="1" x14ac:dyDescent="0.25">
      <c r="A49" s="310" t="s">
        <v>638</v>
      </c>
      <c r="B49" s="310" t="s">
        <v>639</v>
      </c>
      <c r="C49" s="309">
        <v>6.8000000000000005E-2</v>
      </c>
      <c r="D49" s="207"/>
      <c r="E49" s="207"/>
      <c r="F49" s="207"/>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9"/>
      <c r="AE49" s="209"/>
      <c r="AF49" s="209"/>
      <c r="AG49" s="209"/>
      <c r="AH49" s="209"/>
      <c r="AI49" s="209"/>
      <c r="AJ49" s="209"/>
      <c r="AK49" s="209"/>
      <c r="AL49" s="209"/>
      <c r="AM49" s="209"/>
      <c r="AN49" s="209"/>
      <c r="AO49" s="209"/>
      <c r="AP49" s="209"/>
      <c r="AQ49" s="209"/>
      <c r="AR49" s="209"/>
      <c r="AS49" s="304"/>
      <c r="BO49" s="15"/>
      <c r="BP49" s="19"/>
    </row>
    <row r="50" spans="1:69" ht="32.15" customHeight="1" x14ac:dyDescent="0.25">
      <c r="A50" s="194" t="s">
        <v>640</v>
      </c>
      <c r="B50" s="195" t="s">
        <v>641</v>
      </c>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v>1</v>
      </c>
      <c r="AO50" s="196"/>
      <c r="AP50" s="196"/>
      <c r="AQ50" s="196"/>
      <c r="AR50" s="196"/>
      <c r="AS50" s="22"/>
      <c r="BP50" s="19"/>
      <c r="BQ50" s="506"/>
    </row>
    <row r="51" spans="1:69" ht="52.5" customHeight="1" x14ac:dyDescent="0.25">
      <c r="A51" s="312" t="s">
        <v>642</v>
      </c>
      <c r="B51" s="310" t="s">
        <v>643</v>
      </c>
      <c r="C51" s="39">
        <v>0.2</v>
      </c>
      <c r="D51" s="30"/>
      <c r="E51" s="30"/>
      <c r="F51" s="30"/>
      <c r="G51" s="52"/>
      <c r="H51" s="52"/>
      <c r="I51" s="39"/>
      <c r="J51" s="39"/>
      <c r="K51" s="39"/>
      <c r="L51" s="39"/>
      <c r="M51" s="39"/>
      <c r="N51" s="39"/>
      <c r="O51" s="39"/>
      <c r="P51" s="39"/>
      <c r="Q51" s="39"/>
      <c r="R51" s="39"/>
      <c r="S51" s="39"/>
      <c r="T51" s="39"/>
      <c r="U51" s="39"/>
      <c r="V51" s="39"/>
      <c r="W51" s="39"/>
      <c r="X51" s="39"/>
      <c r="Y51" s="39"/>
      <c r="Z51" s="39"/>
      <c r="AA51" s="39"/>
      <c r="AB51" s="39"/>
      <c r="AC51" s="53"/>
      <c r="AD51" s="39"/>
      <c r="AE51" s="39"/>
      <c r="AF51" s="39"/>
      <c r="AG51" s="39"/>
      <c r="AH51" s="39"/>
      <c r="AI51" s="39"/>
      <c r="AJ51" s="39"/>
      <c r="AK51" s="40"/>
      <c r="AL51" s="39"/>
      <c r="AM51" s="39"/>
      <c r="AN51" s="40">
        <v>1</v>
      </c>
      <c r="AO51" s="40"/>
      <c r="AP51" s="40"/>
      <c r="AQ51" s="54"/>
      <c r="AR51" s="54"/>
      <c r="AS51" s="22"/>
      <c r="AT51" s="264"/>
      <c r="BO51" s="16"/>
      <c r="BP51" s="19"/>
      <c r="BQ51" s="506"/>
    </row>
    <row r="52" spans="1:69" ht="32.15" customHeight="1" x14ac:dyDescent="0.25">
      <c r="A52" s="310" t="s">
        <v>644</v>
      </c>
      <c r="B52" s="310" t="s">
        <v>645</v>
      </c>
      <c r="C52" s="51">
        <v>0.108</v>
      </c>
      <c r="D52" s="30"/>
      <c r="E52" s="30"/>
      <c r="F52" s="30"/>
      <c r="G52" s="52"/>
      <c r="H52" s="52"/>
      <c r="I52" s="39"/>
      <c r="J52" s="39"/>
      <c r="K52" s="39"/>
      <c r="L52" s="39"/>
      <c r="M52" s="39"/>
      <c r="N52" s="39"/>
      <c r="O52" s="39"/>
      <c r="P52" s="39"/>
      <c r="Q52" s="39"/>
      <c r="R52" s="39"/>
      <c r="S52" s="39"/>
      <c r="T52" s="39"/>
      <c r="U52" s="39"/>
      <c r="V52" s="39"/>
      <c r="W52" s="39"/>
      <c r="X52" s="39"/>
      <c r="Y52" s="39"/>
      <c r="Z52" s="39"/>
      <c r="AA52" s="39">
        <v>1</v>
      </c>
      <c r="AB52" s="39">
        <v>1</v>
      </c>
      <c r="AC52" s="53"/>
      <c r="AD52" s="39">
        <v>5.6</v>
      </c>
      <c r="AE52" s="39">
        <v>4.37</v>
      </c>
      <c r="AF52" s="39">
        <v>1</v>
      </c>
      <c r="AG52" s="39">
        <v>1</v>
      </c>
      <c r="AH52" s="40">
        <v>0.44</v>
      </c>
      <c r="AI52" s="40"/>
      <c r="AJ52" s="40"/>
      <c r="AK52" s="40"/>
      <c r="AL52" s="39"/>
      <c r="AM52" s="39"/>
      <c r="AN52" s="40">
        <v>1</v>
      </c>
      <c r="AO52" s="40"/>
      <c r="AP52" s="40"/>
      <c r="AQ52" s="54"/>
      <c r="AR52" s="54"/>
      <c r="AS52" s="22"/>
      <c r="BP52" s="19"/>
      <c r="BQ52" s="506"/>
    </row>
    <row r="53" spans="1:69" ht="32.15" customHeight="1" x14ac:dyDescent="0.25">
      <c r="A53" s="312" t="s">
        <v>646</v>
      </c>
      <c r="B53" s="310" t="s">
        <v>647</v>
      </c>
      <c r="C53" s="30">
        <v>0.109</v>
      </c>
      <c r="D53" s="30"/>
      <c r="E53" s="30"/>
      <c r="F53" s="30"/>
      <c r="G53" s="52"/>
      <c r="H53" s="52"/>
      <c r="I53" s="39"/>
      <c r="J53" s="39"/>
      <c r="K53" s="39"/>
      <c r="L53" s="39"/>
      <c r="M53" s="39"/>
      <c r="N53" s="39"/>
      <c r="O53" s="39"/>
      <c r="P53" s="39"/>
      <c r="Q53" s="39"/>
      <c r="R53" s="39"/>
      <c r="S53" s="39"/>
      <c r="T53" s="39"/>
      <c r="U53" s="39"/>
      <c r="V53" s="39"/>
      <c r="W53" s="39"/>
      <c r="X53" s="39"/>
      <c r="Y53" s="39"/>
      <c r="Z53" s="39"/>
      <c r="AA53" s="39"/>
      <c r="AB53" s="39"/>
      <c r="AC53" s="53"/>
      <c r="AD53" s="39"/>
      <c r="AE53" s="39"/>
      <c r="AF53" s="39"/>
      <c r="AG53" s="39"/>
      <c r="AH53" s="39"/>
      <c r="AI53" s="39"/>
      <c r="AJ53" s="39"/>
      <c r="AK53" s="40"/>
      <c r="AL53" s="39"/>
      <c r="AM53" s="39"/>
      <c r="AN53" s="40">
        <v>1</v>
      </c>
      <c r="AO53" s="40"/>
      <c r="AP53" s="40"/>
      <c r="AQ53" s="54"/>
      <c r="AR53" s="54"/>
      <c r="AS53" s="22"/>
      <c r="BP53" s="18"/>
      <c r="BQ53"/>
    </row>
    <row r="54" spans="1:69" ht="32.15" customHeight="1" x14ac:dyDescent="0.3">
      <c r="C54" s="512"/>
      <c r="D54" s="78"/>
      <c r="E54" s="513"/>
      <c r="G54" s="79"/>
      <c r="H54" s="79"/>
      <c r="I54" s="80"/>
      <c r="J54" s="80"/>
      <c r="K54" s="80"/>
      <c r="L54" s="80"/>
      <c r="M54" s="80"/>
      <c r="N54" s="80"/>
      <c r="O54" s="80"/>
      <c r="P54" s="80"/>
      <c r="Q54" s="80"/>
      <c r="R54" s="80"/>
      <c r="S54" s="80"/>
      <c r="T54" s="80"/>
      <c r="U54" s="80"/>
      <c r="V54" s="80"/>
      <c r="W54" s="80"/>
      <c r="X54" s="80"/>
      <c r="Y54" s="80"/>
      <c r="Z54" s="514"/>
      <c r="AA54" s="80"/>
      <c r="AB54" s="80"/>
      <c r="AC54" s="81"/>
      <c r="AD54" s="80"/>
      <c r="AE54" s="80"/>
      <c r="AF54" s="80"/>
      <c r="AG54" s="80"/>
      <c r="AH54" s="80"/>
      <c r="AI54" s="80"/>
      <c r="AJ54" s="80"/>
      <c r="AK54" s="80"/>
      <c r="AL54" s="80"/>
      <c r="AM54" s="80"/>
      <c r="AN54" s="80"/>
      <c r="AO54" s="80"/>
      <c r="AP54" s="80"/>
      <c r="AQ54" s="80"/>
      <c r="AR54" s="80"/>
      <c r="AS54" s="22"/>
      <c r="AU54" s="21"/>
      <c r="AV54" s="21"/>
      <c r="AW54" s="21"/>
      <c r="AX54" s="21"/>
      <c r="AY54" s="21"/>
      <c r="AZ54" s="21"/>
      <c r="BA54" s="21"/>
      <c r="BP54" s="18"/>
      <c r="BQ54" s="506"/>
    </row>
    <row r="55" spans="1:69" ht="32.15" customHeight="1" x14ac:dyDescent="0.25">
      <c r="A55" s="301" t="s">
        <v>648</v>
      </c>
      <c r="C55" s="515"/>
      <c r="D55" s="78"/>
      <c r="E55" s="78"/>
      <c r="F55" s="512"/>
      <c r="G55" s="317"/>
      <c r="H55" s="317"/>
      <c r="I55" s="80"/>
      <c r="J55" s="80"/>
      <c r="K55" s="80"/>
      <c r="L55" s="80"/>
      <c r="M55" s="80"/>
      <c r="N55" s="80"/>
      <c r="O55" s="80"/>
      <c r="P55" s="80"/>
      <c r="Q55" s="80"/>
      <c r="R55" s="80"/>
      <c r="S55" s="80"/>
      <c r="T55" s="80"/>
      <c r="U55" s="80"/>
      <c r="V55" s="80"/>
      <c r="W55" s="80"/>
      <c r="X55" s="80"/>
      <c r="Y55" s="332" t="s">
        <v>649</v>
      </c>
      <c r="Z55" s="332"/>
      <c r="AA55" s="80"/>
      <c r="AB55" s="80"/>
      <c r="AC55" s="81"/>
      <c r="AD55" s="80"/>
      <c r="AE55" s="80"/>
      <c r="AF55" s="80"/>
      <c r="AG55" s="80"/>
      <c r="AH55" s="80"/>
      <c r="AI55" s="80"/>
      <c r="AJ55" s="80"/>
      <c r="AK55" s="80"/>
      <c r="AL55" s="80"/>
      <c r="AM55" s="80"/>
      <c r="AN55" s="80"/>
      <c r="AO55" s="80"/>
      <c r="AP55" s="80"/>
      <c r="AQ55" s="80"/>
      <c r="AR55" s="80"/>
      <c r="AS55" s="22"/>
      <c r="AU55" s="21"/>
      <c r="AV55" s="21"/>
      <c r="AW55" s="21"/>
      <c r="AX55" s="21"/>
      <c r="AY55" s="21"/>
      <c r="AZ55" s="21"/>
      <c r="BA55" s="21"/>
      <c r="BP55" s="19"/>
      <c r="BQ55" s="506"/>
    </row>
    <row r="56" spans="1:69" ht="32.15" customHeight="1" x14ac:dyDescent="0.3">
      <c r="C56" s="515"/>
      <c r="D56" s="78"/>
      <c r="E56" s="78"/>
      <c r="F56" s="78"/>
      <c r="G56" s="79"/>
      <c r="H56" s="79"/>
      <c r="I56" s="80"/>
      <c r="J56" s="80"/>
      <c r="K56" s="80"/>
      <c r="L56" s="80"/>
      <c r="M56" s="80"/>
      <c r="N56" s="80"/>
      <c r="O56" s="80"/>
      <c r="P56" s="80"/>
      <c r="Q56" s="80"/>
      <c r="R56" s="80"/>
      <c r="S56" s="80"/>
      <c r="T56" s="80"/>
      <c r="U56" s="80"/>
      <c r="V56" s="80"/>
      <c r="W56" s="80"/>
      <c r="X56" s="80"/>
      <c r="Y56" s="80"/>
      <c r="Z56" s="80"/>
      <c r="AA56" s="80"/>
      <c r="AB56" s="80"/>
      <c r="AC56" s="81"/>
      <c r="AD56" s="80"/>
      <c r="AE56" s="80"/>
      <c r="AF56" s="80"/>
      <c r="AG56" s="80"/>
      <c r="AH56" s="80"/>
      <c r="AI56" s="80"/>
      <c r="AJ56" s="80"/>
      <c r="AK56" s="80"/>
      <c r="AL56" s="80"/>
      <c r="AM56" s="80"/>
      <c r="AN56" s="80"/>
      <c r="AO56" s="80"/>
      <c r="AP56" s="80"/>
      <c r="AQ56" s="80"/>
      <c r="AR56" s="80"/>
      <c r="AS56" s="22"/>
      <c r="AU56" s="21"/>
      <c r="AV56" s="21"/>
      <c r="AW56" s="21"/>
      <c r="AX56" s="21"/>
      <c r="AY56" s="21"/>
      <c r="AZ56" s="21"/>
      <c r="BA56" s="21"/>
      <c r="BO56" s="16"/>
      <c r="BP56" s="20"/>
      <c r="BQ56" s="506"/>
    </row>
    <row r="57" spans="1:69" ht="32.15" customHeight="1" x14ac:dyDescent="0.25">
      <c r="A57" s="23" t="s">
        <v>650</v>
      </c>
      <c r="B57" s="11"/>
      <c r="C57" s="32"/>
      <c r="D57" s="32"/>
      <c r="E57" s="32"/>
      <c r="F57" s="32"/>
      <c r="G57" s="55"/>
      <c r="H57" s="55"/>
      <c r="I57" s="41"/>
      <c r="J57" s="41"/>
      <c r="K57" s="41"/>
      <c r="L57" s="41"/>
      <c r="M57" s="41"/>
      <c r="N57" s="41"/>
      <c r="O57" s="41"/>
      <c r="P57" s="41"/>
      <c r="Q57" s="41"/>
      <c r="R57" s="41"/>
      <c r="S57" s="41"/>
      <c r="T57" s="41"/>
      <c r="U57" s="41"/>
      <c r="V57" s="41"/>
      <c r="W57" s="41"/>
      <c r="X57" s="41"/>
      <c r="Y57" s="41"/>
      <c r="Z57" s="41"/>
      <c r="AA57" s="41">
        <v>1</v>
      </c>
      <c r="AB57" s="41">
        <v>1</v>
      </c>
      <c r="AC57" s="56"/>
      <c r="AD57" s="41">
        <v>5.6</v>
      </c>
      <c r="AE57" s="41">
        <v>4.37</v>
      </c>
      <c r="AF57" s="41">
        <v>1</v>
      </c>
      <c r="AG57" s="41">
        <v>1</v>
      </c>
      <c r="AH57" s="54">
        <v>0.44</v>
      </c>
      <c r="AI57" s="54"/>
      <c r="AJ57" s="54"/>
      <c r="AK57" s="54"/>
      <c r="AL57" s="41"/>
      <c r="AM57" s="41"/>
      <c r="AN57" s="54">
        <v>1</v>
      </c>
      <c r="AO57" s="54"/>
      <c r="AP57" s="54"/>
      <c r="AQ57" s="54"/>
      <c r="AR57" s="54"/>
      <c r="AS57" s="22"/>
      <c r="BP57" s="20"/>
      <c r="BQ57"/>
    </row>
    <row r="58" spans="1:69" ht="32.15" customHeight="1" x14ac:dyDescent="0.25">
      <c r="A58" s="23" t="s">
        <v>651</v>
      </c>
      <c r="B58" s="11"/>
      <c r="C58" s="32"/>
      <c r="D58" s="32"/>
      <c r="E58" s="32"/>
      <c r="F58" s="32"/>
      <c r="G58" s="55"/>
      <c r="H58" s="55"/>
      <c r="I58" s="41"/>
      <c r="J58" s="41"/>
      <c r="K58" s="41"/>
      <c r="L58" s="41"/>
      <c r="M58" s="41"/>
      <c r="N58" s="41"/>
      <c r="O58" s="41"/>
      <c r="P58" s="41"/>
      <c r="Q58" s="41"/>
      <c r="R58" s="41"/>
      <c r="S58" s="41"/>
      <c r="T58" s="41"/>
      <c r="U58" s="41"/>
      <c r="V58" s="41"/>
      <c r="W58" s="41"/>
      <c r="X58" s="41"/>
      <c r="Y58" s="41"/>
      <c r="Z58" s="41"/>
      <c r="AA58" s="41">
        <v>1</v>
      </c>
      <c r="AB58" s="41">
        <v>1</v>
      </c>
      <c r="AC58" s="56"/>
      <c r="AD58" s="41">
        <v>5.6</v>
      </c>
      <c r="AE58" s="41">
        <v>4.37</v>
      </c>
      <c r="AF58" s="41">
        <v>1</v>
      </c>
      <c r="AG58" s="41">
        <v>1</v>
      </c>
      <c r="AH58" s="54">
        <v>0.44</v>
      </c>
      <c r="AI58" s="54"/>
      <c r="AJ58" s="54"/>
      <c r="AK58" s="54"/>
      <c r="AL58" s="41"/>
      <c r="AM58" s="41"/>
      <c r="AN58" s="54">
        <v>1</v>
      </c>
      <c r="AO58" s="54"/>
      <c r="AP58" s="54"/>
      <c r="AQ58" s="54"/>
      <c r="AR58" s="54"/>
      <c r="AS58" s="22"/>
      <c r="BP58" s="20"/>
      <c r="BQ58" s="31"/>
    </row>
    <row r="59" spans="1:69" ht="32.15" customHeight="1" x14ac:dyDescent="0.25">
      <c r="A59" s="23" t="s">
        <v>652</v>
      </c>
      <c r="B59" s="11"/>
      <c r="C59" s="32"/>
      <c r="D59" s="32"/>
      <c r="E59" s="32"/>
      <c r="F59" s="32"/>
      <c r="G59" s="55"/>
      <c r="H59" s="55"/>
      <c r="I59" s="41"/>
      <c r="J59" s="41"/>
      <c r="K59" s="41"/>
      <c r="L59" s="41"/>
      <c r="M59" s="41"/>
      <c r="N59" s="41"/>
      <c r="O59" s="41"/>
      <c r="P59" s="41"/>
      <c r="Q59" s="41"/>
      <c r="R59" s="41"/>
      <c r="S59" s="41"/>
      <c r="T59" s="41"/>
      <c r="U59" s="41"/>
      <c r="V59" s="54"/>
      <c r="W59" s="54"/>
      <c r="X59" s="41"/>
      <c r="Y59" s="41"/>
      <c r="Z59" s="41"/>
      <c r="AA59" s="41"/>
      <c r="AB59" s="41"/>
      <c r="AC59" s="56"/>
      <c r="AD59" s="41"/>
      <c r="AE59" s="41"/>
      <c r="AF59" s="41"/>
      <c r="AG59" s="41"/>
      <c r="AH59" s="41"/>
      <c r="AI59" s="41"/>
      <c r="AJ59" s="41"/>
      <c r="AK59" s="54"/>
      <c r="AL59" s="41"/>
      <c r="AM59" s="41"/>
      <c r="AN59" s="54"/>
      <c r="AO59" s="54"/>
      <c r="AP59" s="54"/>
      <c r="AQ59" s="54"/>
      <c r="AR59" s="54"/>
      <c r="AS59" s="22"/>
      <c r="BO59" s="16"/>
      <c r="BP59" s="20"/>
      <c r="BQ59" s="506"/>
    </row>
    <row r="60" spans="1:69" ht="32.15" customHeight="1" x14ac:dyDescent="0.25">
      <c r="A60" s="10"/>
      <c r="B60" s="11"/>
      <c r="C60" s="32"/>
      <c r="D60" s="32"/>
      <c r="E60" s="32"/>
      <c r="F60" s="32"/>
      <c r="G60" s="55"/>
      <c r="H60" s="55"/>
      <c r="I60" s="41"/>
      <c r="J60" s="41"/>
      <c r="K60" s="41"/>
      <c r="L60" s="41"/>
      <c r="M60" s="41"/>
      <c r="N60" s="41"/>
      <c r="O60" s="41"/>
      <c r="P60" s="41"/>
      <c r="Q60" s="41"/>
      <c r="R60" s="41"/>
      <c r="S60" s="41"/>
      <c r="T60" s="41"/>
      <c r="U60" s="41"/>
      <c r="V60" s="41"/>
      <c r="W60" s="41"/>
      <c r="X60" s="41"/>
      <c r="Y60" s="41"/>
      <c r="Z60" s="41"/>
      <c r="AA60" s="41"/>
      <c r="AB60" s="41"/>
      <c r="AC60" s="56"/>
      <c r="AD60" s="41"/>
      <c r="AE60" s="41"/>
      <c r="AF60" s="41"/>
      <c r="AG60" s="41"/>
      <c r="AH60" s="41"/>
      <c r="AI60" s="41"/>
      <c r="AJ60" s="41"/>
      <c r="AK60" s="54"/>
      <c r="AL60" s="41"/>
      <c r="AM60" s="41"/>
      <c r="AN60" s="54">
        <v>1</v>
      </c>
      <c r="AO60" s="54"/>
      <c r="AP60" s="54"/>
      <c r="AQ60" s="54"/>
      <c r="AR60" s="54"/>
      <c r="AS60" s="22"/>
      <c r="BQ60" s="506"/>
    </row>
    <row r="61" spans="1:69" ht="32.15" customHeight="1" x14ac:dyDescent="0.25">
      <c r="A61" s="23" t="s">
        <v>653</v>
      </c>
      <c r="B61" s="11"/>
      <c r="C61" s="32"/>
      <c r="D61" s="32"/>
      <c r="E61" s="32"/>
      <c r="F61" s="32"/>
      <c r="G61" s="55"/>
      <c r="H61" s="55"/>
      <c r="I61" s="41"/>
      <c r="J61" s="41"/>
      <c r="K61" s="41"/>
      <c r="L61" s="41"/>
      <c r="M61" s="41"/>
      <c r="N61" s="41"/>
      <c r="O61" s="41"/>
      <c r="P61" s="41"/>
      <c r="Q61" s="41"/>
      <c r="R61" s="41"/>
      <c r="S61" s="41"/>
      <c r="T61" s="41"/>
      <c r="U61" s="41"/>
      <c r="V61" s="41"/>
      <c r="W61" s="41"/>
      <c r="X61" s="41"/>
      <c r="Y61" s="41"/>
      <c r="Z61" s="41"/>
      <c r="AA61" s="41">
        <v>1</v>
      </c>
      <c r="AB61" s="41">
        <v>1</v>
      </c>
      <c r="AC61" s="56"/>
      <c r="AD61" s="41">
        <v>5.6</v>
      </c>
      <c r="AE61" s="41">
        <v>4.37</v>
      </c>
      <c r="AF61" s="41">
        <v>1</v>
      </c>
      <c r="AG61" s="41">
        <v>1</v>
      </c>
      <c r="AH61" s="41"/>
      <c r="AI61" s="41"/>
      <c r="AJ61" s="41"/>
      <c r="AK61" s="54"/>
      <c r="AL61" s="41"/>
      <c r="AM61" s="41"/>
      <c r="AN61" s="54">
        <v>1</v>
      </c>
      <c r="AO61" s="54"/>
      <c r="AP61" s="54"/>
      <c r="AQ61" s="54"/>
      <c r="AR61" s="54"/>
      <c r="AS61" s="22"/>
      <c r="BB61" s="4"/>
      <c r="BC61" s="4"/>
      <c r="BD61" s="4"/>
      <c r="BE61" s="4"/>
      <c r="BF61" s="4"/>
      <c r="BG61" s="4"/>
      <c r="BH61" s="4"/>
      <c r="BI61" s="4"/>
      <c r="BJ61" s="4"/>
      <c r="BK61" s="4"/>
      <c r="BL61" s="4"/>
      <c r="BM61" s="4"/>
      <c r="BN61" s="4"/>
      <c r="BQ61" s="506"/>
    </row>
    <row r="62" spans="1:69" ht="32.15" customHeight="1" x14ac:dyDescent="0.25">
      <c r="A62" s="23" t="s">
        <v>654</v>
      </c>
      <c r="B62" s="11"/>
      <c r="C62" s="32"/>
      <c r="D62" s="32"/>
      <c r="E62" s="32"/>
      <c r="F62" s="32"/>
      <c r="G62" s="55"/>
      <c r="H62" s="55"/>
      <c r="I62" s="41"/>
      <c r="J62" s="41"/>
      <c r="K62" s="42"/>
      <c r="L62" s="42"/>
      <c r="M62" s="42"/>
      <c r="N62" s="42"/>
      <c r="O62" s="41"/>
      <c r="P62" s="41"/>
      <c r="Q62" s="41"/>
      <c r="R62" s="41"/>
      <c r="S62" s="41"/>
      <c r="T62" s="41"/>
      <c r="U62" s="41"/>
      <c r="V62" s="41"/>
      <c r="W62" s="41"/>
      <c r="X62" s="41"/>
      <c r="Y62" s="41"/>
      <c r="Z62" s="41"/>
      <c r="AA62" s="41">
        <v>1</v>
      </c>
      <c r="AB62" s="41">
        <v>1</v>
      </c>
      <c r="AC62" s="56"/>
      <c r="AD62" s="41">
        <v>5.6</v>
      </c>
      <c r="AE62" s="41">
        <v>4.37</v>
      </c>
      <c r="AF62" s="41">
        <v>1</v>
      </c>
      <c r="AG62" s="41">
        <v>1</v>
      </c>
      <c r="AH62" s="41"/>
      <c r="AI62" s="41"/>
      <c r="AJ62" s="41"/>
      <c r="AK62" s="54"/>
      <c r="AL62" s="41"/>
      <c r="AM62" s="41"/>
      <c r="AN62" s="54">
        <v>1</v>
      </c>
      <c r="AO62" s="54"/>
      <c r="AP62" s="54"/>
      <c r="AQ62" s="54"/>
      <c r="AR62" s="54"/>
      <c r="AS62" s="22"/>
      <c r="BO62" s="16"/>
      <c r="BQ62" s="506"/>
    </row>
    <row r="63" spans="1:69" ht="32.15" customHeight="1" x14ac:dyDescent="0.25">
      <c r="A63" s="26" t="s">
        <v>655</v>
      </c>
      <c r="B63" s="27"/>
      <c r="C63" s="57" t="s">
        <v>656</v>
      </c>
      <c r="D63" s="33"/>
      <c r="E63" s="33"/>
      <c r="F63" s="33"/>
      <c r="G63" s="34"/>
      <c r="H63" s="34"/>
      <c r="I63" s="35"/>
      <c r="J63" s="35"/>
      <c r="K63" s="58"/>
      <c r="L63" s="58"/>
      <c r="M63" s="58"/>
      <c r="N63" s="58"/>
      <c r="O63" s="35"/>
      <c r="P63" s="35"/>
      <c r="Q63" s="35"/>
      <c r="R63" s="35"/>
      <c r="S63" s="35"/>
      <c r="T63" s="35"/>
      <c r="U63" s="35"/>
      <c r="V63" s="38" t="s">
        <v>657</v>
      </c>
      <c r="W63" s="38"/>
      <c r="X63" s="35"/>
      <c r="Y63" s="35"/>
      <c r="Z63" s="35"/>
      <c r="AA63" s="35"/>
      <c r="AB63" s="35"/>
      <c r="AC63" s="36"/>
      <c r="AD63" s="35"/>
      <c r="AE63" s="35"/>
      <c r="AF63" s="35"/>
      <c r="AG63" s="35"/>
      <c r="AH63" s="35"/>
      <c r="AI63" s="35"/>
      <c r="AJ63" s="35"/>
      <c r="AK63" s="37"/>
      <c r="AL63" s="35"/>
      <c r="AM63" s="35"/>
      <c r="AN63" s="37"/>
      <c r="AO63" s="37"/>
      <c r="AP63" s="37"/>
      <c r="AQ63" s="37"/>
      <c r="AR63" s="37"/>
      <c r="AS63" s="22"/>
      <c r="BQ63" s="506"/>
    </row>
    <row r="64" spans="1:69" ht="32.15" customHeight="1" x14ac:dyDescent="0.25">
      <c r="A64" s="516" t="s">
        <v>658</v>
      </c>
      <c r="B64" s="11"/>
      <c r="C64" s="32">
        <v>1</v>
      </c>
      <c r="D64" s="32"/>
      <c r="E64" s="32"/>
      <c r="F64" s="32"/>
      <c r="G64" s="59"/>
      <c r="H64" s="59"/>
      <c r="I64" s="41"/>
      <c r="J64" s="41"/>
      <c r="K64" s="42"/>
      <c r="L64" s="42"/>
      <c r="M64" s="42"/>
      <c r="N64" s="42"/>
      <c r="O64" s="41"/>
      <c r="P64" s="41"/>
      <c r="Q64" s="41"/>
      <c r="R64" s="41"/>
      <c r="S64" s="41"/>
      <c r="T64" s="41"/>
      <c r="U64" s="41"/>
      <c r="V64" s="41">
        <v>3.6</v>
      </c>
      <c r="W64" s="41"/>
      <c r="X64" s="41"/>
      <c r="Y64" s="41"/>
      <c r="Z64" s="41"/>
      <c r="AA64" s="41"/>
      <c r="AB64" s="41"/>
      <c r="AC64" s="56"/>
      <c r="AD64" s="41"/>
      <c r="AE64" s="41"/>
      <c r="AF64" s="41"/>
      <c r="AG64" s="41"/>
      <c r="AH64" s="41"/>
      <c r="AI64" s="41"/>
      <c r="AJ64" s="41"/>
      <c r="AK64" s="54"/>
      <c r="AL64" s="41"/>
      <c r="AM64" s="41"/>
      <c r="AN64" s="54"/>
      <c r="AO64" s="54"/>
      <c r="AP64" s="54"/>
      <c r="AQ64" s="54"/>
      <c r="AR64" s="54"/>
      <c r="AS64" s="22"/>
      <c r="BQ64" s="506"/>
    </row>
    <row r="65" spans="1:66" ht="32.15" customHeight="1" x14ac:dyDescent="0.25">
      <c r="A65" s="516" t="s">
        <v>659</v>
      </c>
      <c r="B65" s="11"/>
      <c r="C65" s="32">
        <v>0.5</v>
      </c>
      <c r="D65" s="32"/>
      <c r="E65" s="32"/>
      <c r="F65" s="32"/>
      <c r="G65" s="59"/>
      <c r="H65" s="59"/>
      <c r="I65" s="41"/>
      <c r="J65" s="41"/>
      <c r="K65" s="42"/>
      <c r="L65" s="42"/>
      <c r="M65" s="42"/>
      <c r="N65" s="42"/>
      <c r="O65" s="41"/>
      <c r="P65" s="41"/>
      <c r="Q65" s="41"/>
      <c r="R65" s="41"/>
      <c r="S65" s="41"/>
      <c r="T65" s="41"/>
      <c r="U65" s="41"/>
      <c r="V65" s="41">
        <v>0</v>
      </c>
      <c r="W65" s="41"/>
      <c r="X65" s="41"/>
      <c r="Y65" s="41"/>
      <c r="Z65" s="41"/>
      <c r="AA65" s="41"/>
      <c r="AB65" s="41"/>
      <c r="AC65" s="56"/>
      <c r="AD65" s="41"/>
      <c r="AE65" s="41"/>
      <c r="AF65" s="41"/>
      <c r="AG65" s="41"/>
      <c r="AH65" s="41"/>
      <c r="AI65" s="41"/>
      <c r="AJ65" s="41"/>
      <c r="AK65" s="54"/>
      <c r="AL65" s="41"/>
      <c r="AM65" s="41"/>
      <c r="AN65" s="54"/>
      <c r="AO65" s="54"/>
      <c r="AP65" s="54"/>
      <c r="AQ65" s="54"/>
      <c r="AR65" s="54"/>
      <c r="AS65" s="22"/>
    </row>
    <row r="66" spans="1:66" ht="32.15" customHeight="1" x14ac:dyDescent="0.25">
      <c r="A66" s="516" t="s">
        <v>660</v>
      </c>
      <c r="B66" s="11"/>
      <c r="C66" s="32"/>
      <c r="D66" s="32"/>
      <c r="E66" s="32"/>
      <c r="F66" s="32"/>
      <c r="G66" s="59"/>
      <c r="H66" s="59"/>
      <c r="I66" s="41"/>
      <c r="J66" s="41"/>
      <c r="K66" s="42"/>
      <c r="L66" s="42"/>
      <c r="M66" s="42"/>
      <c r="N66" s="42"/>
      <c r="O66" s="41"/>
      <c r="P66" s="41"/>
      <c r="Q66" s="41"/>
      <c r="R66" s="41"/>
      <c r="S66" s="41"/>
      <c r="T66" s="41"/>
      <c r="U66" s="41"/>
      <c r="V66" s="41"/>
      <c r="W66" s="41"/>
      <c r="X66" s="41"/>
      <c r="Y66" s="41"/>
      <c r="Z66" s="41"/>
      <c r="AA66" s="41"/>
      <c r="AB66" s="41"/>
      <c r="AC66" s="56"/>
      <c r="AD66" s="41"/>
      <c r="AE66" s="41"/>
      <c r="AF66" s="41"/>
      <c r="AG66" s="41"/>
      <c r="AH66" s="41"/>
      <c r="AI66" s="41"/>
      <c r="AJ66" s="41"/>
      <c r="AK66" s="54"/>
      <c r="AL66" s="41"/>
      <c r="AM66" s="41"/>
      <c r="AN66" s="54"/>
      <c r="AO66" s="54"/>
      <c r="AP66" s="54"/>
      <c r="AQ66" s="54"/>
      <c r="AR66" s="54"/>
      <c r="AS66" s="22"/>
    </row>
    <row r="67" spans="1:66" ht="32.15" customHeight="1" x14ac:dyDescent="0.25">
      <c r="A67" s="23" t="s">
        <v>661</v>
      </c>
      <c r="B67" s="11"/>
      <c r="C67" s="32"/>
      <c r="D67" s="32"/>
      <c r="E67" s="32"/>
      <c r="F67" s="32"/>
      <c r="G67" s="55"/>
      <c r="H67" s="55"/>
      <c r="I67" s="41"/>
      <c r="J67" s="41"/>
      <c r="K67" s="42"/>
      <c r="L67" s="42"/>
      <c r="M67" s="42"/>
      <c r="N67" s="42"/>
      <c r="O67" s="41"/>
      <c r="P67" s="41"/>
      <c r="Q67" s="41"/>
      <c r="R67" s="41"/>
      <c r="S67" s="41"/>
      <c r="T67" s="41"/>
      <c r="U67" s="41"/>
      <c r="V67" s="41"/>
      <c r="W67" s="41"/>
      <c r="X67" s="41"/>
      <c r="Y67" s="41"/>
      <c r="Z67" s="41"/>
      <c r="AA67" s="41">
        <v>1</v>
      </c>
      <c r="AB67" s="41">
        <v>1</v>
      </c>
      <c r="AC67" s="56"/>
      <c r="AD67" s="41">
        <v>5.6</v>
      </c>
      <c r="AE67" s="41">
        <v>4.37</v>
      </c>
      <c r="AF67" s="41">
        <v>1</v>
      </c>
      <c r="AG67" s="41">
        <v>1</v>
      </c>
      <c r="AH67" s="41"/>
      <c r="AI67" s="41"/>
      <c r="AJ67" s="41"/>
      <c r="AK67" s="54"/>
      <c r="AL67" s="41"/>
      <c r="AM67" s="41"/>
      <c r="AN67" s="54">
        <v>1</v>
      </c>
      <c r="AO67" s="54"/>
      <c r="AP67" s="54"/>
      <c r="AQ67" s="54"/>
      <c r="AR67" s="54"/>
      <c r="AS67" s="22"/>
      <c r="BB67" s="4"/>
      <c r="BC67" s="4"/>
      <c r="BD67" s="4"/>
      <c r="BE67" s="4"/>
      <c r="BF67" s="4"/>
      <c r="BG67" s="4"/>
      <c r="BH67" s="4"/>
      <c r="BI67" s="4"/>
      <c r="BJ67" s="4"/>
      <c r="BK67" s="4"/>
      <c r="BL67" s="4"/>
      <c r="BM67" s="4"/>
      <c r="BN67" s="4"/>
    </row>
    <row r="68" spans="1:66" ht="32.15" customHeight="1" x14ac:dyDescent="0.3">
      <c r="A68" s="24" t="s">
        <v>662</v>
      </c>
      <c r="B68" s="11"/>
      <c r="C68" s="32"/>
      <c r="D68" s="32"/>
      <c r="E68" s="32"/>
      <c r="F68" s="32"/>
      <c r="G68" s="55"/>
      <c r="H68" s="55"/>
      <c r="I68" s="41"/>
      <c r="J68" s="41"/>
      <c r="K68" s="42"/>
      <c r="L68" s="42"/>
      <c r="M68" s="42"/>
      <c r="N68" s="42"/>
      <c r="O68" s="41"/>
      <c r="P68" s="41"/>
      <c r="Q68" s="41"/>
      <c r="R68" s="41"/>
      <c r="S68" s="41"/>
      <c r="T68" s="41"/>
      <c r="U68" s="41"/>
      <c r="V68" s="41"/>
      <c r="W68" s="41"/>
      <c r="X68" s="41"/>
      <c r="Y68" s="41"/>
      <c r="Z68" s="41"/>
      <c r="AA68" s="41">
        <v>1</v>
      </c>
      <c r="AB68" s="41">
        <v>1</v>
      </c>
      <c r="AC68" s="56"/>
      <c r="AD68" s="41">
        <v>5.6</v>
      </c>
      <c r="AE68" s="41">
        <v>4.37</v>
      </c>
      <c r="AF68" s="41">
        <v>1</v>
      </c>
      <c r="AG68" s="41">
        <v>1</v>
      </c>
      <c r="AH68" s="41"/>
      <c r="AI68" s="41"/>
      <c r="AJ68" s="41"/>
      <c r="AK68" s="54"/>
      <c r="AL68" s="41"/>
      <c r="AM68" s="41"/>
      <c r="AN68" s="54">
        <v>1</v>
      </c>
      <c r="AO68" s="54"/>
      <c r="AP68" s="54"/>
      <c r="AQ68" s="54"/>
      <c r="AR68" s="54"/>
      <c r="AS68" s="22"/>
      <c r="BB68" s="4"/>
      <c r="BC68" s="4"/>
      <c r="BD68" s="4"/>
      <c r="BE68" s="4"/>
      <c r="BF68" s="4"/>
      <c r="BG68" s="4"/>
      <c r="BH68" s="4"/>
      <c r="BI68" s="4"/>
      <c r="BJ68" s="4"/>
      <c r="BK68" s="4"/>
      <c r="BL68" s="4"/>
      <c r="BM68" s="4"/>
      <c r="BN68" s="4"/>
    </row>
    <row r="69" spans="1:66" ht="32.15" customHeight="1" x14ac:dyDescent="0.3">
      <c r="A69" s="24" t="s">
        <v>663</v>
      </c>
      <c r="B69" s="11"/>
      <c r="C69" s="32"/>
      <c r="D69" s="32"/>
      <c r="E69" s="32"/>
      <c r="F69" s="32"/>
      <c r="G69" s="55"/>
      <c r="H69" s="55"/>
      <c r="I69" s="41"/>
      <c r="J69" s="41"/>
      <c r="K69" s="42"/>
      <c r="L69" s="41"/>
      <c r="M69" s="42"/>
      <c r="N69" s="42"/>
      <c r="O69" s="41"/>
      <c r="P69" s="41"/>
      <c r="Q69" s="41"/>
      <c r="R69" s="41"/>
      <c r="S69" s="41"/>
      <c r="T69" s="41"/>
      <c r="U69" s="41"/>
      <c r="V69" s="41"/>
      <c r="W69" s="41"/>
      <c r="X69" s="41"/>
      <c r="Y69" s="41"/>
      <c r="Z69" s="41"/>
      <c r="AA69" s="41">
        <v>1</v>
      </c>
      <c r="AB69" s="41">
        <v>1</v>
      </c>
      <c r="AC69" s="56"/>
      <c r="AD69" s="41">
        <v>5.6</v>
      </c>
      <c r="AE69" s="41">
        <v>4.37</v>
      </c>
      <c r="AF69" s="41">
        <v>1</v>
      </c>
      <c r="AG69" s="41">
        <v>1</v>
      </c>
      <c r="AH69" s="41"/>
      <c r="AI69" s="41"/>
      <c r="AJ69" s="41"/>
      <c r="AK69" s="54"/>
      <c r="AL69" s="41"/>
      <c r="AM69" s="41"/>
      <c r="AN69" s="54">
        <v>1</v>
      </c>
      <c r="AO69" s="54"/>
      <c r="AP69" s="54"/>
      <c r="AQ69" s="54"/>
      <c r="AR69" s="54"/>
      <c r="AS69" s="22"/>
      <c r="BB69" s="4"/>
      <c r="BC69" s="4"/>
      <c r="BD69" s="4"/>
      <c r="BE69" s="4"/>
      <c r="BF69" s="4"/>
      <c r="BG69" s="4"/>
      <c r="BH69" s="4"/>
      <c r="BI69" s="4"/>
      <c r="BJ69" s="4"/>
      <c r="BK69" s="4"/>
      <c r="BL69" s="4"/>
      <c r="BM69" s="4"/>
      <c r="BN69" s="4"/>
    </row>
    <row r="70" spans="1:66" ht="32.15" customHeight="1" x14ac:dyDescent="0.3">
      <c r="A70" s="24" t="s">
        <v>664</v>
      </c>
      <c r="B70" s="11"/>
      <c r="C70" s="32"/>
      <c r="D70" s="32"/>
      <c r="E70" s="32"/>
      <c r="F70" s="32"/>
      <c r="G70" s="55"/>
      <c r="H70" s="55"/>
      <c r="I70" s="41"/>
      <c r="J70" s="41"/>
      <c r="K70" s="42"/>
      <c r="L70" s="41"/>
      <c r="M70" s="42"/>
      <c r="N70" s="42"/>
      <c r="O70" s="41"/>
      <c r="P70" s="41"/>
      <c r="Q70" s="41"/>
      <c r="R70" s="41"/>
      <c r="S70" s="41"/>
      <c r="T70" s="41"/>
      <c r="U70" s="41"/>
      <c r="V70" s="41"/>
      <c r="W70" s="41"/>
      <c r="X70" s="41"/>
      <c r="Y70" s="41"/>
      <c r="Z70" s="41"/>
      <c r="AA70" s="41">
        <v>1</v>
      </c>
      <c r="AB70" s="41">
        <v>1</v>
      </c>
      <c r="AC70" s="56"/>
      <c r="AD70" s="41">
        <v>5.6</v>
      </c>
      <c r="AE70" s="41">
        <v>4.37</v>
      </c>
      <c r="AF70" s="41">
        <v>1</v>
      </c>
      <c r="AG70" s="41">
        <v>1</v>
      </c>
      <c r="AH70" s="41"/>
      <c r="AI70" s="41"/>
      <c r="AJ70" s="41"/>
      <c r="AK70" s="54"/>
      <c r="AL70" s="41"/>
      <c r="AM70" s="41"/>
      <c r="AN70" s="54">
        <v>1</v>
      </c>
      <c r="AO70" s="54"/>
      <c r="AP70" s="54"/>
      <c r="AQ70" s="54"/>
      <c r="AR70" s="54"/>
      <c r="AS70" s="22"/>
      <c r="BB70" s="4"/>
      <c r="BC70" s="4"/>
      <c r="BD70" s="4"/>
      <c r="BE70" s="4"/>
      <c r="BF70" s="4"/>
      <c r="BG70" s="4"/>
      <c r="BH70" s="4"/>
      <c r="BI70" s="4"/>
      <c r="BJ70" s="4"/>
      <c r="BK70" s="4"/>
      <c r="BL70" s="4"/>
      <c r="BM70" s="4"/>
      <c r="BN70" s="4"/>
    </row>
    <row r="71" spans="1:66" ht="32.15" customHeight="1" x14ac:dyDescent="0.3">
      <c r="A71" s="24" t="s">
        <v>665</v>
      </c>
      <c r="B71" s="11"/>
      <c r="C71" s="32"/>
      <c r="D71" s="32"/>
      <c r="E71" s="32"/>
      <c r="F71" s="32"/>
      <c r="G71" s="55"/>
      <c r="H71" s="55"/>
      <c r="I71" s="41"/>
      <c r="J71" s="41"/>
      <c r="K71" s="42"/>
      <c r="L71" s="41"/>
      <c r="M71" s="42"/>
      <c r="N71" s="42"/>
      <c r="O71" s="41"/>
      <c r="P71" s="41"/>
      <c r="Q71" s="41"/>
      <c r="R71" s="41"/>
      <c r="S71" s="41"/>
      <c r="T71" s="41"/>
      <c r="U71" s="41"/>
      <c r="V71" s="41"/>
      <c r="W71" s="41"/>
      <c r="X71" s="41"/>
      <c r="Y71" s="41"/>
      <c r="Z71" s="41"/>
      <c r="AA71" s="41">
        <v>1</v>
      </c>
      <c r="AB71" s="41">
        <v>1</v>
      </c>
      <c r="AC71" s="56"/>
      <c r="AD71" s="41">
        <v>5.6</v>
      </c>
      <c r="AE71" s="41">
        <v>4.37</v>
      </c>
      <c r="AF71" s="41">
        <v>1</v>
      </c>
      <c r="AG71" s="41">
        <v>1</v>
      </c>
      <c r="AH71" s="41"/>
      <c r="AI71" s="41"/>
      <c r="AJ71" s="41"/>
      <c r="AK71" s="54"/>
      <c r="AL71" s="41"/>
      <c r="AM71" s="41"/>
      <c r="AN71" s="54">
        <v>1</v>
      </c>
      <c r="AO71" s="54"/>
      <c r="AP71" s="54"/>
      <c r="AQ71" s="54"/>
      <c r="AR71" s="54"/>
      <c r="AS71" s="22"/>
      <c r="BB71" s="4"/>
      <c r="BC71" s="4"/>
      <c r="BD71" s="4"/>
      <c r="BE71" s="4"/>
      <c r="BF71" s="4"/>
      <c r="BG71" s="4"/>
      <c r="BH71" s="4"/>
      <c r="BI71" s="4"/>
      <c r="BJ71" s="4"/>
      <c r="BK71" s="4"/>
      <c r="BL71" s="4"/>
      <c r="BM71" s="4"/>
      <c r="BN71" s="4"/>
    </row>
    <row r="72" spans="1:66" ht="32.15" customHeight="1" x14ac:dyDescent="0.25">
      <c r="A72" s="23" t="s">
        <v>666</v>
      </c>
      <c r="B72" s="11"/>
      <c r="C72" s="32"/>
      <c r="D72" s="32"/>
      <c r="E72" s="32"/>
      <c r="F72" s="32"/>
      <c r="G72" s="55"/>
      <c r="H72" s="55"/>
      <c r="I72" s="41"/>
      <c r="J72" s="41"/>
      <c r="K72" s="42"/>
      <c r="L72" s="41"/>
      <c r="M72" s="42"/>
      <c r="N72" s="42"/>
      <c r="O72" s="41"/>
      <c r="P72" s="41"/>
      <c r="Q72" s="41"/>
      <c r="R72" s="41"/>
      <c r="S72" s="41"/>
      <c r="T72" s="41"/>
      <c r="U72" s="41"/>
      <c r="V72" s="41"/>
      <c r="W72" s="41"/>
      <c r="X72" s="41"/>
      <c r="Y72" s="41"/>
      <c r="Z72" s="41"/>
      <c r="AA72" s="41">
        <v>1</v>
      </c>
      <c r="AB72" s="41">
        <v>1</v>
      </c>
      <c r="AC72" s="56"/>
      <c r="AD72" s="41">
        <v>5.6</v>
      </c>
      <c r="AE72" s="41">
        <v>4.37</v>
      </c>
      <c r="AF72" s="41">
        <v>1</v>
      </c>
      <c r="AG72" s="41">
        <v>1</v>
      </c>
      <c r="AH72" s="41"/>
      <c r="AI72" s="41"/>
      <c r="AJ72" s="41"/>
      <c r="AK72" s="54"/>
      <c r="AL72" s="41"/>
      <c r="AM72" s="41"/>
      <c r="AN72" s="54">
        <v>1</v>
      </c>
      <c r="AO72" s="54"/>
      <c r="AP72" s="54"/>
      <c r="AQ72" s="54"/>
      <c r="AR72" s="54"/>
      <c r="AS72" s="22"/>
      <c r="BB72" s="4"/>
      <c r="BC72" s="4"/>
      <c r="BD72" s="4"/>
      <c r="BE72" s="4"/>
      <c r="BF72" s="4"/>
      <c r="BG72" s="4"/>
      <c r="BH72" s="4"/>
      <c r="BI72" s="4"/>
      <c r="BJ72" s="4"/>
      <c r="BK72" s="4"/>
      <c r="BL72" s="4"/>
      <c r="BM72" s="4"/>
      <c r="BN72" s="4"/>
    </row>
    <row r="73" spans="1:66" ht="32.15" customHeight="1" x14ac:dyDescent="0.25">
      <c r="A73" s="23" t="s">
        <v>667</v>
      </c>
      <c r="B73" s="11"/>
      <c r="C73" s="32"/>
      <c r="D73" s="32"/>
      <c r="E73" s="32"/>
      <c r="F73" s="32"/>
      <c r="G73" s="55"/>
      <c r="H73" s="55"/>
      <c r="I73" s="41"/>
      <c r="J73" s="41"/>
      <c r="K73" s="42"/>
      <c r="L73" s="41"/>
      <c r="M73" s="42"/>
      <c r="N73" s="42"/>
      <c r="O73" s="41"/>
      <c r="P73" s="41"/>
      <c r="Q73" s="41"/>
      <c r="R73" s="41"/>
      <c r="S73" s="41"/>
      <c r="T73" s="41"/>
      <c r="U73" s="41"/>
      <c r="V73" s="41"/>
      <c r="W73" s="41"/>
      <c r="X73" s="41"/>
      <c r="Y73" s="41"/>
      <c r="Z73" s="41"/>
      <c r="AA73" s="41">
        <v>1</v>
      </c>
      <c r="AB73" s="41">
        <v>1</v>
      </c>
      <c r="AC73" s="56"/>
      <c r="AD73" s="41">
        <v>5.6</v>
      </c>
      <c r="AE73" s="41">
        <v>4.37</v>
      </c>
      <c r="AF73" s="41">
        <v>1</v>
      </c>
      <c r="AG73" s="41">
        <v>1</v>
      </c>
      <c r="AH73" s="41"/>
      <c r="AI73" s="41"/>
      <c r="AJ73" s="41"/>
      <c r="AK73" s="54"/>
      <c r="AL73" s="41"/>
      <c r="AM73" s="41"/>
      <c r="AN73" s="54">
        <v>1</v>
      </c>
      <c r="AO73" s="54"/>
      <c r="AP73" s="54"/>
      <c r="AQ73" s="54"/>
      <c r="AR73" s="54"/>
      <c r="AS73" s="22"/>
      <c r="BB73" s="4"/>
      <c r="BC73" s="4"/>
      <c r="BD73" s="4"/>
      <c r="BE73" s="4"/>
      <c r="BF73" s="4"/>
      <c r="BG73" s="4"/>
      <c r="BH73" s="4"/>
      <c r="BI73" s="4"/>
      <c r="BJ73" s="4"/>
      <c r="BK73" s="4"/>
      <c r="BL73" s="4"/>
      <c r="BM73" s="4"/>
      <c r="BN73" s="4"/>
    </row>
    <row r="74" spans="1:66" ht="32.15" customHeight="1" x14ac:dyDescent="0.25">
      <c r="A74" s="23" t="s">
        <v>668</v>
      </c>
      <c r="B74" s="11"/>
      <c r="C74" s="32"/>
      <c r="D74" s="32"/>
      <c r="E74" s="32"/>
      <c r="F74" s="32"/>
      <c r="G74" s="55"/>
      <c r="H74" s="55"/>
      <c r="I74" s="41"/>
      <c r="J74" s="41"/>
      <c r="K74" s="42"/>
      <c r="L74" s="41"/>
      <c r="M74" s="42"/>
      <c r="N74" s="42"/>
      <c r="O74" s="41"/>
      <c r="P74" s="41"/>
      <c r="Q74" s="41"/>
      <c r="R74" s="41"/>
      <c r="S74" s="41"/>
      <c r="T74" s="41"/>
      <c r="U74" s="41"/>
      <c r="V74" s="41"/>
      <c r="W74" s="41"/>
      <c r="X74" s="41"/>
      <c r="Y74" s="41"/>
      <c r="Z74" s="41"/>
      <c r="AA74" s="41">
        <v>1</v>
      </c>
      <c r="AB74" s="41">
        <v>1</v>
      </c>
      <c r="AC74" s="56"/>
      <c r="AD74" s="41">
        <v>5.6</v>
      </c>
      <c r="AE74" s="41">
        <v>4.37</v>
      </c>
      <c r="AF74" s="41">
        <v>1</v>
      </c>
      <c r="AG74" s="41">
        <v>1</v>
      </c>
      <c r="AH74" s="41"/>
      <c r="AI74" s="41"/>
      <c r="AJ74" s="41"/>
      <c r="AK74" s="54"/>
      <c r="AL74" s="41"/>
      <c r="AM74" s="41"/>
      <c r="AN74" s="54">
        <v>1</v>
      </c>
      <c r="AO74" s="54"/>
      <c r="AP74" s="54"/>
      <c r="AQ74" s="54"/>
      <c r="AR74" s="54"/>
      <c r="AS74" s="22"/>
      <c r="BB74" s="4"/>
      <c r="BC74" s="4"/>
      <c r="BD74" s="4"/>
      <c r="BE74" s="4"/>
      <c r="BF74" s="4"/>
      <c r="BG74" s="4"/>
      <c r="BH74" s="4"/>
      <c r="BI74" s="4"/>
      <c r="BJ74" s="4"/>
      <c r="BK74" s="4"/>
      <c r="BL74" s="4"/>
      <c r="BM74" s="4"/>
      <c r="BN74" s="4"/>
    </row>
    <row r="75" spans="1:66" ht="32.15" customHeight="1" x14ac:dyDescent="0.3">
      <c r="A75" s="24" t="s">
        <v>669</v>
      </c>
      <c r="B75" s="11"/>
      <c r="C75" s="32"/>
      <c r="D75" s="32"/>
      <c r="E75" s="32"/>
      <c r="F75" s="32"/>
      <c r="G75" s="55"/>
      <c r="H75" s="55"/>
      <c r="I75" s="41"/>
      <c r="J75" s="41"/>
      <c r="K75" s="42"/>
      <c r="L75" s="41"/>
      <c r="M75" s="42"/>
      <c r="N75" s="42"/>
      <c r="O75" s="41"/>
      <c r="P75" s="41"/>
      <c r="Q75" s="41"/>
      <c r="R75" s="41"/>
      <c r="S75" s="41"/>
      <c r="T75" s="41"/>
      <c r="U75" s="41"/>
      <c r="V75" s="41"/>
      <c r="W75" s="41"/>
      <c r="X75" s="41"/>
      <c r="Y75" s="41"/>
      <c r="Z75" s="41"/>
      <c r="AA75" s="41">
        <v>1</v>
      </c>
      <c r="AB75" s="41">
        <v>1</v>
      </c>
      <c r="AC75" s="56"/>
      <c r="AD75" s="41">
        <v>5.6</v>
      </c>
      <c r="AE75" s="41">
        <v>4.37</v>
      </c>
      <c r="AF75" s="41">
        <v>1</v>
      </c>
      <c r="AG75" s="41">
        <v>1</v>
      </c>
      <c r="AH75" s="41"/>
      <c r="AI75" s="41"/>
      <c r="AJ75" s="41"/>
      <c r="AK75" s="54"/>
      <c r="AL75" s="41"/>
      <c r="AM75" s="41"/>
      <c r="AN75" s="54">
        <v>1</v>
      </c>
      <c r="AO75" s="54"/>
      <c r="AP75" s="54"/>
      <c r="AQ75" s="54"/>
      <c r="AR75" s="54"/>
      <c r="AS75" s="22"/>
      <c r="BB75" s="4"/>
      <c r="BC75" s="4"/>
      <c r="BD75" s="4"/>
      <c r="BE75" s="4"/>
      <c r="BF75" s="4"/>
      <c r="BG75" s="4"/>
      <c r="BH75" s="4"/>
      <c r="BI75" s="4"/>
      <c r="BJ75" s="4"/>
      <c r="BK75" s="4"/>
      <c r="BL75" s="4"/>
      <c r="BM75" s="4"/>
      <c r="BN75" s="4"/>
    </row>
    <row r="76" spans="1:66" ht="32.15" customHeight="1" x14ac:dyDescent="0.3">
      <c r="A76" s="24" t="s">
        <v>670</v>
      </c>
      <c r="B76" s="11"/>
      <c r="C76" s="32"/>
      <c r="D76" s="32"/>
      <c r="E76" s="32"/>
      <c r="F76" s="32"/>
      <c r="G76" s="55"/>
      <c r="H76" s="55"/>
      <c r="I76" s="41"/>
      <c r="J76" s="41"/>
      <c r="K76" s="42"/>
      <c r="L76" s="41"/>
      <c r="M76" s="42"/>
      <c r="N76" s="42"/>
      <c r="O76" s="41"/>
      <c r="P76" s="41"/>
      <c r="Q76" s="41"/>
      <c r="R76" s="41"/>
      <c r="S76" s="41"/>
      <c r="T76" s="41"/>
      <c r="U76" s="41"/>
      <c r="V76" s="41"/>
      <c r="W76" s="41"/>
      <c r="X76" s="41"/>
      <c r="Y76" s="41"/>
      <c r="Z76" s="41"/>
      <c r="AA76" s="41">
        <v>1</v>
      </c>
      <c r="AB76" s="41">
        <v>1</v>
      </c>
      <c r="AC76" s="56"/>
      <c r="AD76" s="41">
        <v>5.6</v>
      </c>
      <c r="AE76" s="41">
        <v>4.37</v>
      </c>
      <c r="AF76" s="41">
        <v>1</v>
      </c>
      <c r="AG76" s="41">
        <v>1</v>
      </c>
      <c r="AH76" s="41"/>
      <c r="AI76" s="41"/>
      <c r="AJ76" s="41"/>
      <c r="AK76" s="54"/>
      <c r="AL76" s="41"/>
      <c r="AM76" s="41"/>
      <c r="AN76" s="54">
        <v>1</v>
      </c>
      <c r="AO76" s="54"/>
      <c r="AP76" s="54"/>
      <c r="AQ76" s="54"/>
      <c r="AR76" s="54"/>
      <c r="AS76" s="22"/>
      <c r="BB76" s="4"/>
      <c r="BC76" s="4"/>
      <c r="BD76" s="4"/>
      <c r="BE76" s="4"/>
      <c r="BF76" s="4"/>
      <c r="BG76" s="4"/>
      <c r="BH76" s="4"/>
      <c r="BI76" s="4"/>
      <c r="BJ76" s="4"/>
      <c r="BK76" s="4"/>
      <c r="BL76" s="4"/>
      <c r="BM76" s="4"/>
      <c r="BN76" s="4"/>
    </row>
    <row r="77" spans="1:66" ht="32.15" customHeight="1" x14ac:dyDescent="0.3">
      <c r="A77" s="24" t="s">
        <v>671</v>
      </c>
      <c r="B77" s="11"/>
      <c r="C77" s="32"/>
      <c r="D77" s="32"/>
      <c r="E77" s="32"/>
      <c r="F77" s="32"/>
      <c r="G77" s="55"/>
      <c r="H77" s="55"/>
      <c r="I77" s="41"/>
      <c r="J77" s="41"/>
      <c r="K77" s="42"/>
      <c r="L77" s="41"/>
      <c r="M77" s="42"/>
      <c r="N77" s="42"/>
      <c r="O77" s="41"/>
      <c r="P77" s="41"/>
      <c r="Q77" s="41"/>
      <c r="R77" s="41"/>
      <c r="S77" s="41"/>
      <c r="T77" s="41"/>
      <c r="U77" s="41"/>
      <c r="V77" s="41"/>
      <c r="W77" s="41"/>
      <c r="X77" s="41"/>
      <c r="Y77" s="41"/>
      <c r="Z77" s="41"/>
      <c r="AA77" s="41">
        <v>1</v>
      </c>
      <c r="AB77" s="41">
        <v>1</v>
      </c>
      <c r="AC77" s="56"/>
      <c r="AD77" s="41">
        <v>5.6</v>
      </c>
      <c r="AE77" s="41">
        <v>4.37</v>
      </c>
      <c r="AF77" s="41">
        <v>1</v>
      </c>
      <c r="AG77" s="41">
        <v>1</v>
      </c>
      <c r="AH77" s="41"/>
      <c r="AI77" s="41"/>
      <c r="AJ77" s="41"/>
      <c r="AK77" s="54"/>
      <c r="AL77" s="41"/>
      <c r="AM77" s="41"/>
      <c r="AN77" s="54">
        <v>1</v>
      </c>
      <c r="AO77" s="54"/>
      <c r="AP77" s="54"/>
      <c r="AQ77" s="54"/>
      <c r="AR77" s="54"/>
      <c r="AS77" s="22"/>
    </row>
    <row r="78" spans="1:66" ht="32.15" customHeight="1" x14ac:dyDescent="0.3">
      <c r="A78" s="24" t="s">
        <v>261</v>
      </c>
      <c r="B78" s="11"/>
      <c r="C78" s="32"/>
      <c r="D78" s="32"/>
      <c r="E78" s="32"/>
      <c r="F78" s="32"/>
      <c r="G78" s="55"/>
      <c r="H78" s="55"/>
      <c r="I78" s="41"/>
      <c r="J78" s="41"/>
      <c r="K78" s="42"/>
      <c r="L78" s="41"/>
      <c r="M78" s="42"/>
      <c r="N78" s="42"/>
      <c r="O78" s="41"/>
      <c r="P78" s="41"/>
      <c r="Q78" s="41"/>
      <c r="R78" s="41"/>
      <c r="S78" s="41"/>
      <c r="T78" s="41"/>
      <c r="U78" s="41"/>
      <c r="V78" s="41"/>
      <c r="W78" s="41"/>
      <c r="X78" s="41"/>
      <c r="Y78" s="41"/>
      <c r="Z78" s="41"/>
      <c r="AA78" s="41">
        <v>1</v>
      </c>
      <c r="AB78" s="41">
        <v>1</v>
      </c>
      <c r="AC78" s="56"/>
      <c r="AD78" s="41">
        <v>5.6</v>
      </c>
      <c r="AE78" s="41">
        <v>4.37</v>
      </c>
      <c r="AF78" s="41">
        <v>1</v>
      </c>
      <c r="AG78" s="41">
        <v>1</v>
      </c>
      <c r="AH78" s="41"/>
      <c r="AI78" s="41"/>
      <c r="AJ78" s="41"/>
      <c r="AK78" s="54"/>
      <c r="AL78" s="41"/>
      <c r="AM78" s="41"/>
      <c r="AN78" s="54">
        <v>1</v>
      </c>
      <c r="AO78" s="54"/>
      <c r="AP78" s="54"/>
      <c r="AQ78" s="54"/>
      <c r="AR78" s="54"/>
      <c r="AS78" s="22"/>
    </row>
    <row r="79" spans="1:66" x14ac:dyDescent="0.3">
      <c r="A79" s="24" t="s">
        <v>672</v>
      </c>
      <c r="B79" s="11"/>
      <c r="C79" s="32"/>
      <c r="D79" s="32"/>
      <c r="E79" s="32"/>
      <c r="F79" s="32"/>
      <c r="G79" s="55"/>
      <c r="H79" s="55"/>
      <c r="I79" s="41"/>
      <c r="J79" s="41"/>
      <c r="K79" s="42"/>
      <c r="L79" s="41"/>
      <c r="M79" s="42"/>
      <c r="N79" s="42"/>
      <c r="O79" s="41"/>
      <c r="P79" s="41"/>
      <c r="Q79" s="41"/>
      <c r="R79" s="41"/>
      <c r="S79" s="41"/>
      <c r="T79" s="41"/>
      <c r="U79" s="41"/>
      <c r="V79" s="41"/>
      <c r="W79" s="41"/>
      <c r="X79" s="41"/>
      <c r="Y79" s="41"/>
      <c r="Z79" s="41"/>
      <c r="AA79" s="41">
        <v>1</v>
      </c>
      <c r="AB79" s="41">
        <v>1</v>
      </c>
      <c r="AC79" s="56"/>
      <c r="AD79" s="41">
        <v>5.6</v>
      </c>
      <c r="AE79" s="41">
        <v>4.37</v>
      </c>
      <c r="AF79" s="41">
        <v>1</v>
      </c>
      <c r="AG79" s="41">
        <v>1</v>
      </c>
      <c r="AH79" s="41"/>
      <c r="AI79" s="41"/>
      <c r="AJ79" s="41"/>
      <c r="AK79" s="54"/>
      <c r="AL79" s="41"/>
      <c r="AM79" s="41"/>
      <c r="AN79" s="54">
        <v>1</v>
      </c>
      <c r="AO79" s="54"/>
      <c r="AP79" s="54"/>
      <c r="AQ79" s="54"/>
      <c r="AR79" s="54"/>
    </row>
    <row r="80" spans="1:66" x14ac:dyDescent="0.3">
      <c r="A80" s="24" t="s">
        <v>268</v>
      </c>
      <c r="B80" s="11"/>
      <c r="C80" s="32"/>
      <c r="D80" s="32"/>
      <c r="E80" s="32"/>
      <c r="F80" s="32"/>
      <c r="G80" s="55"/>
      <c r="H80" s="55"/>
      <c r="I80" s="41"/>
      <c r="J80" s="41"/>
      <c r="K80" s="42"/>
      <c r="L80" s="41"/>
      <c r="M80" s="42"/>
      <c r="N80" s="42"/>
      <c r="O80" s="41"/>
      <c r="P80" s="41"/>
      <c r="Q80" s="41"/>
      <c r="R80" s="41"/>
      <c r="S80" s="41"/>
      <c r="T80" s="41"/>
      <c r="U80" s="41"/>
      <c r="V80" s="41"/>
      <c r="W80" s="41"/>
      <c r="X80" s="41"/>
      <c r="Y80" s="41"/>
      <c r="Z80" s="41"/>
      <c r="AA80" s="41">
        <v>1</v>
      </c>
      <c r="AB80" s="41">
        <v>1</v>
      </c>
      <c r="AC80" s="56"/>
      <c r="AD80" s="41">
        <v>5.6</v>
      </c>
      <c r="AE80" s="41">
        <v>4.37</v>
      </c>
      <c r="AF80" s="41">
        <v>1</v>
      </c>
      <c r="AG80" s="41">
        <v>1</v>
      </c>
      <c r="AH80" s="41"/>
      <c r="AI80" s="41"/>
      <c r="AJ80" s="41"/>
      <c r="AK80" s="54"/>
      <c r="AL80" s="41"/>
      <c r="AM80" s="41"/>
      <c r="AN80" s="54">
        <v>1</v>
      </c>
      <c r="AO80" s="54"/>
      <c r="AP80" s="54"/>
      <c r="AQ80" s="54"/>
      <c r="AR80" s="54"/>
    </row>
    <row r="81" spans="1:44" x14ac:dyDescent="0.3">
      <c r="A81" s="24" t="s">
        <v>673</v>
      </c>
      <c r="B81" s="11"/>
      <c r="C81" s="32"/>
      <c r="D81" s="32"/>
      <c r="E81" s="32"/>
      <c r="F81" s="32"/>
      <c r="G81" s="55"/>
      <c r="H81" s="55"/>
      <c r="I81" s="41"/>
      <c r="J81" s="41"/>
      <c r="K81" s="42"/>
      <c r="L81" s="41"/>
      <c r="M81" s="42"/>
      <c r="N81" s="42"/>
      <c r="O81" s="41"/>
      <c r="P81" s="41"/>
      <c r="Q81" s="41"/>
      <c r="R81" s="41"/>
      <c r="S81" s="41"/>
      <c r="T81" s="41"/>
      <c r="U81" s="41"/>
      <c r="V81" s="41"/>
      <c r="W81" s="41"/>
      <c r="X81" s="41"/>
      <c r="Y81" s="41"/>
      <c r="Z81" s="41"/>
      <c r="AA81" s="41">
        <v>1</v>
      </c>
      <c r="AB81" s="41">
        <v>1</v>
      </c>
      <c r="AC81" s="56"/>
      <c r="AD81" s="41">
        <v>5.6</v>
      </c>
      <c r="AE81" s="41">
        <v>4.37</v>
      </c>
      <c r="AF81" s="41">
        <v>1</v>
      </c>
      <c r="AG81" s="41">
        <v>1</v>
      </c>
      <c r="AH81" s="41"/>
      <c r="AI81" s="41"/>
      <c r="AJ81" s="41"/>
      <c r="AK81" s="54"/>
      <c r="AL81" s="41"/>
      <c r="AM81" s="41"/>
      <c r="AN81" s="54">
        <v>1</v>
      </c>
      <c r="AO81" s="54"/>
      <c r="AP81" s="54"/>
      <c r="AQ81" s="54"/>
      <c r="AR81" s="54"/>
    </row>
    <row r="82" spans="1:44" ht="26" x14ac:dyDescent="0.3">
      <c r="A82" s="24" t="s">
        <v>674</v>
      </c>
      <c r="B82" s="11"/>
      <c r="C82" s="32"/>
      <c r="D82" s="32"/>
      <c r="E82" s="32"/>
      <c r="F82" s="32"/>
      <c r="G82" s="55"/>
      <c r="H82" s="55"/>
      <c r="I82" s="41"/>
      <c r="J82" s="41"/>
      <c r="K82" s="42"/>
      <c r="L82" s="41"/>
      <c r="M82" s="42"/>
      <c r="N82" s="42"/>
      <c r="O82" s="41"/>
      <c r="P82" s="41"/>
      <c r="Q82" s="41"/>
      <c r="R82" s="41"/>
      <c r="S82" s="41"/>
      <c r="T82" s="41"/>
      <c r="U82" s="41"/>
      <c r="V82" s="41"/>
      <c r="W82" s="41"/>
      <c r="X82" s="41"/>
      <c r="Y82" s="41"/>
      <c r="Z82" s="41"/>
      <c r="AA82" s="41">
        <v>1</v>
      </c>
      <c r="AB82" s="41">
        <v>1</v>
      </c>
      <c r="AC82" s="56"/>
      <c r="AD82" s="41">
        <v>5.6</v>
      </c>
      <c r="AE82" s="41">
        <v>4.37</v>
      </c>
      <c r="AF82" s="41">
        <v>1</v>
      </c>
      <c r="AG82" s="41">
        <v>1</v>
      </c>
      <c r="AH82" s="41"/>
      <c r="AI82" s="41"/>
      <c r="AJ82" s="41"/>
      <c r="AK82" s="54"/>
      <c r="AL82" s="41"/>
      <c r="AM82" s="41"/>
      <c r="AN82" s="54">
        <v>1</v>
      </c>
      <c r="AO82" s="54"/>
      <c r="AP82" s="54"/>
      <c r="AQ82" s="54"/>
      <c r="AR82" s="54"/>
    </row>
    <row r="83" spans="1:44" x14ac:dyDescent="0.3">
      <c r="A83" s="24" t="s">
        <v>675</v>
      </c>
      <c r="B83" s="11"/>
      <c r="C83" s="32"/>
      <c r="D83" s="32"/>
      <c r="E83" s="32"/>
      <c r="F83" s="32"/>
      <c r="G83" s="55"/>
      <c r="H83" s="55"/>
      <c r="I83" s="41"/>
      <c r="J83" s="41"/>
      <c r="K83" s="42"/>
      <c r="L83" s="41"/>
      <c r="M83" s="42"/>
      <c r="N83" s="42"/>
      <c r="O83" s="41"/>
      <c r="P83" s="41"/>
      <c r="Q83" s="41"/>
      <c r="R83" s="41"/>
      <c r="S83" s="41"/>
      <c r="T83" s="41"/>
      <c r="U83" s="41"/>
      <c r="V83" s="41"/>
      <c r="W83" s="41"/>
      <c r="X83" s="41"/>
      <c r="Y83" s="41"/>
      <c r="Z83" s="41"/>
      <c r="AA83" s="41">
        <v>1</v>
      </c>
      <c r="AB83" s="41">
        <v>1</v>
      </c>
      <c r="AC83" s="56"/>
      <c r="AD83" s="41">
        <v>5.6</v>
      </c>
      <c r="AE83" s="41">
        <v>4.37</v>
      </c>
      <c r="AF83" s="41">
        <v>1</v>
      </c>
      <c r="AG83" s="41">
        <v>1</v>
      </c>
      <c r="AH83" s="41"/>
      <c r="AI83" s="41"/>
      <c r="AJ83" s="41"/>
      <c r="AK83" s="54"/>
      <c r="AL83" s="41"/>
      <c r="AM83" s="41"/>
      <c r="AN83" s="54">
        <v>1</v>
      </c>
      <c r="AO83" s="54"/>
      <c r="AP83" s="54"/>
      <c r="AQ83" s="54"/>
      <c r="AR83" s="54"/>
    </row>
    <row r="84" spans="1:44" x14ac:dyDescent="0.3">
      <c r="A84" s="24" t="s">
        <v>676</v>
      </c>
      <c r="B84" s="11"/>
      <c r="C84" s="32"/>
      <c r="D84" s="32"/>
      <c r="E84" s="32"/>
      <c r="F84" s="32"/>
      <c r="G84" s="55"/>
      <c r="H84" s="55"/>
      <c r="I84" s="41"/>
      <c r="J84" s="41"/>
      <c r="K84" s="42"/>
      <c r="L84" s="41"/>
      <c r="M84" s="42"/>
      <c r="N84" s="42"/>
      <c r="O84" s="41"/>
      <c r="P84" s="41"/>
      <c r="Q84" s="41"/>
      <c r="R84" s="41"/>
      <c r="S84" s="41"/>
      <c r="T84" s="41"/>
      <c r="U84" s="41"/>
      <c r="V84" s="41"/>
      <c r="W84" s="41"/>
      <c r="X84" s="41"/>
      <c r="Y84" s="41"/>
      <c r="Z84" s="41"/>
      <c r="AA84" s="41">
        <v>1</v>
      </c>
      <c r="AB84" s="41">
        <v>1</v>
      </c>
      <c r="AC84" s="56"/>
      <c r="AD84" s="41">
        <v>5.6</v>
      </c>
      <c r="AE84" s="41">
        <v>4.37</v>
      </c>
      <c r="AF84" s="41">
        <v>1</v>
      </c>
      <c r="AG84" s="41">
        <v>1</v>
      </c>
      <c r="AH84" s="41"/>
      <c r="AI84" s="41"/>
      <c r="AJ84" s="41"/>
      <c r="AK84" s="54"/>
      <c r="AL84" s="41"/>
      <c r="AM84" s="41"/>
      <c r="AN84" s="54">
        <v>1</v>
      </c>
      <c r="AO84" s="54"/>
      <c r="AP84" s="54"/>
      <c r="AQ84" s="54"/>
      <c r="AR84" s="54"/>
    </row>
    <row r="85" spans="1:44" x14ac:dyDescent="0.3">
      <c r="A85" s="24" t="s">
        <v>677</v>
      </c>
      <c r="B85" s="11"/>
      <c r="C85" s="32"/>
      <c r="D85" s="32"/>
      <c r="E85" s="32"/>
      <c r="F85" s="32"/>
      <c r="G85" s="55"/>
      <c r="H85" s="55"/>
      <c r="I85" s="41"/>
      <c r="J85" s="41"/>
      <c r="K85" s="42"/>
      <c r="L85" s="41"/>
      <c r="M85" s="42"/>
      <c r="N85" s="42"/>
      <c r="O85" s="41"/>
      <c r="P85" s="41"/>
      <c r="Q85" s="41"/>
      <c r="R85" s="41"/>
      <c r="S85" s="41"/>
      <c r="T85" s="41"/>
      <c r="U85" s="41"/>
      <c r="V85" s="41"/>
      <c r="W85" s="41"/>
      <c r="X85" s="41"/>
      <c r="Y85" s="41"/>
      <c r="Z85" s="41"/>
      <c r="AA85" s="41">
        <v>1</v>
      </c>
      <c r="AB85" s="41">
        <v>1</v>
      </c>
      <c r="AC85" s="56"/>
      <c r="AD85" s="41">
        <v>5.6</v>
      </c>
      <c r="AE85" s="41">
        <v>4.37</v>
      </c>
      <c r="AF85" s="41">
        <v>1</v>
      </c>
      <c r="AG85" s="41">
        <v>1</v>
      </c>
      <c r="AH85" s="41"/>
      <c r="AI85" s="41"/>
      <c r="AJ85" s="41"/>
      <c r="AK85" s="54"/>
      <c r="AL85" s="41"/>
      <c r="AM85" s="41"/>
      <c r="AN85" s="54">
        <v>1</v>
      </c>
      <c r="AO85" s="54"/>
      <c r="AP85" s="54"/>
      <c r="AQ85" s="54"/>
      <c r="AR85" s="54"/>
    </row>
    <row r="86" spans="1:44" x14ac:dyDescent="0.3">
      <c r="A86" s="24" t="s">
        <v>678</v>
      </c>
      <c r="B86" s="11"/>
      <c r="C86" s="32"/>
      <c r="D86" s="32"/>
      <c r="E86" s="32"/>
      <c r="F86" s="32"/>
      <c r="G86" s="55"/>
      <c r="H86" s="55"/>
      <c r="I86" s="41"/>
      <c r="J86" s="41"/>
      <c r="K86" s="42"/>
      <c r="L86" s="42"/>
      <c r="M86" s="42"/>
      <c r="N86" s="42"/>
      <c r="O86" s="41"/>
      <c r="P86" s="41"/>
      <c r="Q86" s="41"/>
      <c r="R86" s="41"/>
      <c r="S86" s="41"/>
      <c r="T86" s="41"/>
      <c r="U86" s="41"/>
      <c r="V86" s="41"/>
      <c r="W86" s="41"/>
      <c r="X86" s="41"/>
      <c r="Y86" s="41"/>
      <c r="Z86" s="41"/>
      <c r="AA86" s="41">
        <v>1</v>
      </c>
      <c r="AB86" s="41">
        <v>1</v>
      </c>
      <c r="AC86" s="56"/>
      <c r="AD86" s="41">
        <v>5.6</v>
      </c>
      <c r="AE86" s="41">
        <v>4.37</v>
      </c>
      <c r="AF86" s="41">
        <v>1</v>
      </c>
      <c r="AG86" s="41">
        <v>1</v>
      </c>
      <c r="AH86" s="41"/>
      <c r="AI86" s="41"/>
      <c r="AJ86" s="41"/>
      <c r="AK86" s="54"/>
      <c r="AL86" s="41"/>
      <c r="AM86" s="41"/>
      <c r="AN86" s="54">
        <v>1</v>
      </c>
      <c r="AO86" s="54"/>
      <c r="AP86" s="54"/>
      <c r="AQ86" s="54"/>
      <c r="AR86" s="54"/>
    </row>
    <row r="87" spans="1:44" x14ac:dyDescent="0.3">
      <c r="A87" s="25" t="s">
        <v>135</v>
      </c>
      <c r="B87" s="11"/>
      <c r="C87" s="32"/>
      <c r="D87" s="32"/>
      <c r="E87" s="32"/>
      <c r="F87" s="32"/>
      <c r="G87" s="55"/>
      <c r="H87" s="55"/>
      <c r="I87" s="41"/>
      <c r="J87" s="41"/>
      <c r="K87" s="42"/>
      <c r="L87" s="42"/>
      <c r="M87" s="42"/>
      <c r="N87" s="42"/>
      <c r="O87" s="41"/>
      <c r="P87" s="41"/>
      <c r="Q87" s="41"/>
      <c r="R87" s="41"/>
      <c r="S87" s="41"/>
      <c r="T87" s="41"/>
      <c r="U87" s="41"/>
      <c r="V87" s="41"/>
      <c r="W87" s="41"/>
      <c r="X87" s="41"/>
      <c r="Y87" s="41"/>
      <c r="Z87" s="41"/>
      <c r="AA87" s="41">
        <v>1</v>
      </c>
      <c r="AB87" s="41">
        <v>1</v>
      </c>
      <c r="AC87" s="56"/>
      <c r="AD87" s="41">
        <v>5.6</v>
      </c>
      <c r="AE87" s="41">
        <v>4.37</v>
      </c>
      <c r="AF87" s="41">
        <v>1</v>
      </c>
      <c r="AG87" s="41">
        <v>1</v>
      </c>
      <c r="AH87" s="41"/>
      <c r="AI87" s="41"/>
      <c r="AJ87" s="41"/>
      <c r="AK87" s="54"/>
      <c r="AL87" s="41"/>
      <c r="AM87" s="41"/>
      <c r="AN87" s="54">
        <v>1</v>
      </c>
      <c r="AO87" s="54"/>
      <c r="AP87" s="54"/>
      <c r="AQ87" s="54"/>
      <c r="AR87" s="54"/>
    </row>
    <row r="88" spans="1:44" x14ac:dyDescent="0.3">
      <c r="A88" s="24" t="s">
        <v>679</v>
      </c>
      <c r="B88" s="11"/>
      <c r="C88" s="32"/>
      <c r="D88" s="32"/>
      <c r="E88" s="32"/>
      <c r="F88" s="32"/>
      <c r="G88" s="55"/>
      <c r="H88" s="55"/>
      <c r="I88" s="41"/>
      <c r="J88" s="41"/>
      <c r="K88" s="41"/>
      <c r="L88" s="41"/>
      <c r="M88" s="41"/>
      <c r="N88" s="41"/>
      <c r="O88" s="41"/>
      <c r="P88" s="41"/>
      <c r="Q88" s="41"/>
      <c r="R88" s="41"/>
      <c r="S88" s="41"/>
      <c r="T88" s="41"/>
      <c r="U88" s="41"/>
      <c r="V88" s="41"/>
      <c r="W88" s="41"/>
      <c r="X88" s="41"/>
      <c r="Y88" s="41"/>
      <c r="Z88" s="41"/>
      <c r="AA88" s="41">
        <v>1</v>
      </c>
      <c r="AB88" s="41">
        <v>1</v>
      </c>
      <c r="AC88" s="56"/>
      <c r="AD88" s="41">
        <v>5.6</v>
      </c>
      <c r="AE88" s="41">
        <v>4.37</v>
      </c>
      <c r="AF88" s="41">
        <v>1</v>
      </c>
      <c r="AG88" s="41">
        <v>1</v>
      </c>
      <c r="AH88" s="41"/>
      <c r="AI88" s="41"/>
      <c r="AJ88" s="41"/>
      <c r="AK88" s="54"/>
      <c r="AL88" s="41"/>
      <c r="AM88" s="41"/>
      <c r="AN88" s="54">
        <v>1</v>
      </c>
      <c r="AO88" s="54"/>
      <c r="AP88" s="54"/>
      <c r="AQ88" s="54"/>
      <c r="AR88" s="54"/>
    </row>
    <row r="89" spans="1:44" x14ac:dyDescent="0.3">
      <c r="A89" s="24" t="s">
        <v>680</v>
      </c>
      <c r="B89" s="11"/>
      <c r="C89" s="32"/>
      <c r="D89" s="32"/>
      <c r="E89" s="32"/>
      <c r="F89" s="32"/>
      <c r="G89" s="55"/>
      <c r="H89" s="55"/>
      <c r="I89" s="41"/>
      <c r="J89" s="41"/>
      <c r="K89" s="41"/>
      <c r="L89" s="41"/>
      <c r="M89" s="41"/>
      <c r="N89" s="41"/>
      <c r="O89" s="41"/>
      <c r="P89" s="41"/>
      <c r="Q89" s="41"/>
      <c r="R89" s="41"/>
      <c r="S89" s="41"/>
      <c r="T89" s="41"/>
      <c r="U89" s="41"/>
      <c r="V89" s="41"/>
      <c r="W89" s="41"/>
      <c r="X89" s="41"/>
      <c r="Y89" s="41"/>
      <c r="Z89" s="41"/>
      <c r="AA89" s="41">
        <v>1</v>
      </c>
      <c r="AB89" s="41">
        <v>1</v>
      </c>
      <c r="AC89" s="56"/>
      <c r="AD89" s="41">
        <v>5.6</v>
      </c>
      <c r="AE89" s="41">
        <v>4.37</v>
      </c>
      <c r="AF89" s="41">
        <v>1</v>
      </c>
      <c r="AG89" s="41">
        <v>1</v>
      </c>
      <c r="AH89" s="41"/>
      <c r="AI89" s="41"/>
      <c r="AJ89" s="41"/>
      <c r="AK89" s="54"/>
      <c r="AL89" s="41"/>
      <c r="AM89" s="41"/>
      <c r="AN89" s="54">
        <v>1</v>
      </c>
      <c r="AO89" s="54"/>
      <c r="AP89" s="54"/>
      <c r="AQ89" s="54"/>
      <c r="AR89" s="54"/>
    </row>
    <row r="90" spans="1:44" x14ac:dyDescent="0.3">
      <c r="A90" s="24" t="s">
        <v>681</v>
      </c>
      <c r="B90" s="11"/>
      <c r="C90" s="32"/>
      <c r="D90" s="32"/>
      <c r="E90" s="32"/>
      <c r="F90" s="32"/>
      <c r="G90" s="55"/>
      <c r="H90" s="55"/>
      <c r="I90" s="41"/>
      <c r="J90" s="41"/>
      <c r="K90" s="41"/>
      <c r="L90" s="41"/>
      <c r="M90" s="41"/>
      <c r="N90" s="41"/>
      <c r="O90" s="41"/>
      <c r="P90" s="41"/>
      <c r="Q90" s="41"/>
      <c r="R90" s="41"/>
      <c r="S90" s="41"/>
      <c r="T90" s="41"/>
      <c r="U90" s="41"/>
      <c r="V90" s="41"/>
      <c r="W90" s="41"/>
      <c r="X90" s="41"/>
      <c r="Y90" s="41"/>
      <c r="Z90" s="41"/>
      <c r="AA90" s="41">
        <v>1</v>
      </c>
      <c r="AB90" s="41">
        <v>1</v>
      </c>
      <c r="AC90" s="56"/>
      <c r="AD90" s="41">
        <v>5.6</v>
      </c>
      <c r="AE90" s="41">
        <v>4.37</v>
      </c>
      <c r="AF90" s="41">
        <v>1</v>
      </c>
      <c r="AG90" s="41">
        <v>1</v>
      </c>
      <c r="AH90" s="41"/>
      <c r="AI90" s="41"/>
      <c r="AJ90" s="41"/>
      <c r="AK90" s="54"/>
      <c r="AL90" s="41"/>
      <c r="AM90" s="41"/>
      <c r="AN90" s="54">
        <v>1</v>
      </c>
      <c r="AO90" s="54"/>
      <c r="AP90" s="54"/>
      <c r="AQ90" s="54"/>
      <c r="AR90" s="54"/>
    </row>
    <row r="91" spans="1:44" x14ac:dyDescent="0.3">
      <c r="A91" s="24" t="s">
        <v>682</v>
      </c>
      <c r="B91" s="11"/>
      <c r="C91" s="32"/>
      <c r="D91" s="32"/>
      <c r="E91" s="32"/>
      <c r="F91" s="32"/>
      <c r="G91" s="55"/>
      <c r="H91" s="55"/>
      <c r="I91" s="41"/>
      <c r="J91" s="41"/>
      <c r="K91" s="41"/>
      <c r="L91" s="41"/>
      <c r="M91" s="41"/>
      <c r="N91" s="41"/>
      <c r="O91" s="41"/>
      <c r="P91" s="41"/>
      <c r="Q91" s="41"/>
      <c r="R91" s="41"/>
      <c r="S91" s="41"/>
      <c r="T91" s="41"/>
      <c r="U91" s="41"/>
      <c r="V91" s="41"/>
      <c r="W91" s="41"/>
      <c r="X91" s="41"/>
      <c r="Y91" s="41"/>
      <c r="Z91" s="41"/>
      <c r="AA91" s="41">
        <v>1</v>
      </c>
      <c r="AB91" s="41">
        <v>1</v>
      </c>
      <c r="AC91" s="56"/>
      <c r="AD91" s="41">
        <v>5.6</v>
      </c>
      <c r="AE91" s="41">
        <v>4.37</v>
      </c>
      <c r="AF91" s="41">
        <v>1</v>
      </c>
      <c r="AG91" s="41">
        <v>1</v>
      </c>
      <c r="AH91" s="41"/>
      <c r="AI91" s="41"/>
      <c r="AJ91" s="41"/>
      <c r="AK91" s="54"/>
      <c r="AL91" s="41"/>
      <c r="AM91" s="41"/>
      <c r="AN91" s="54">
        <v>1</v>
      </c>
      <c r="AO91" s="54"/>
      <c r="AP91" s="54"/>
      <c r="AQ91" s="54"/>
      <c r="AR91" s="54"/>
    </row>
    <row r="92" spans="1:44" x14ac:dyDescent="0.3">
      <c r="A92" s="24" t="s">
        <v>683</v>
      </c>
      <c r="B92" s="11"/>
      <c r="C92" s="32"/>
      <c r="D92" s="32"/>
      <c r="E92" s="32"/>
      <c r="F92" s="32"/>
      <c r="G92" s="55"/>
      <c r="H92" s="55"/>
      <c r="I92" s="41"/>
      <c r="J92" s="41"/>
      <c r="K92" s="41"/>
      <c r="L92" s="41"/>
      <c r="M92" s="41"/>
      <c r="N92" s="41"/>
      <c r="O92" s="41"/>
      <c r="P92" s="41"/>
      <c r="Q92" s="41"/>
      <c r="R92" s="41"/>
      <c r="S92" s="41"/>
      <c r="T92" s="41"/>
      <c r="U92" s="41"/>
      <c r="V92" s="41"/>
      <c r="W92" s="41"/>
      <c r="X92" s="41"/>
      <c r="Y92" s="41"/>
      <c r="Z92" s="41"/>
      <c r="AA92" s="41">
        <v>1</v>
      </c>
      <c r="AB92" s="41">
        <v>1</v>
      </c>
      <c r="AC92" s="56"/>
      <c r="AD92" s="41">
        <v>5.6</v>
      </c>
      <c r="AE92" s="41">
        <v>4.37</v>
      </c>
      <c r="AF92" s="41">
        <v>1</v>
      </c>
      <c r="AG92" s="41">
        <v>1</v>
      </c>
      <c r="AH92" s="41"/>
      <c r="AI92" s="41"/>
      <c r="AJ92" s="41"/>
      <c r="AK92" s="54"/>
      <c r="AL92" s="41"/>
      <c r="AM92" s="41"/>
      <c r="AN92" s="54">
        <v>1</v>
      </c>
      <c r="AO92" s="54"/>
      <c r="AP92" s="54"/>
      <c r="AQ92" s="54"/>
      <c r="AR92" s="54"/>
    </row>
    <row r="93" spans="1:44" x14ac:dyDescent="0.3">
      <c r="A93" s="24" t="s">
        <v>684</v>
      </c>
      <c r="B93" s="11"/>
      <c r="C93" s="32"/>
      <c r="D93" s="32"/>
      <c r="E93" s="32"/>
      <c r="F93" s="32"/>
      <c r="G93" s="55"/>
      <c r="H93" s="55"/>
      <c r="I93" s="41"/>
      <c r="J93" s="41"/>
      <c r="K93" s="41"/>
      <c r="L93" s="41"/>
      <c r="M93" s="41"/>
      <c r="N93" s="41"/>
      <c r="O93" s="41"/>
      <c r="P93" s="41"/>
      <c r="Q93" s="41"/>
      <c r="R93" s="41"/>
      <c r="S93" s="41"/>
      <c r="T93" s="41"/>
      <c r="U93" s="41"/>
      <c r="V93" s="41"/>
      <c r="W93" s="41"/>
      <c r="X93" s="41"/>
      <c r="Y93" s="41"/>
      <c r="Z93" s="41"/>
      <c r="AA93" s="41">
        <v>1</v>
      </c>
      <c r="AB93" s="41">
        <v>1</v>
      </c>
      <c r="AC93" s="56"/>
      <c r="AD93" s="41">
        <v>5.6</v>
      </c>
      <c r="AE93" s="41">
        <v>4.37</v>
      </c>
      <c r="AF93" s="41">
        <v>1</v>
      </c>
      <c r="AG93" s="41">
        <v>1</v>
      </c>
      <c r="AH93" s="41"/>
      <c r="AI93" s="41"/>
      <c r="AJ93" s="41"/>
      <c r="AK93" s="54"/>
      <c r="AL93" s="41"/>
      <c r="AM93" s="41"/>
      <c r="AN93" s="54">
        <v>1</v>
      </c>
      <c r="AO93" s="54"/>
      <c r="AP93" s="54"/>
      <c r="AQ93" s="54"/>
      <c r="AR93" s="54"/>
    </row>
    <row r="94" spans="1:44" x14ac:dyDescent="0.3">
      <c r="A94" s="24" t="s">
        <v>685</v>
      </c>
      <c r="B94" s="11"/>
      <c r="C94" s="32"/>
      <c r="D94" s="32"/>
      <c r="E94" s="32"/>
      <c r="F94" s="32"/>
      <c r="G94" s="55"/>
      <c r="H94" s="55"/>
      <c r="I94" s="41"/>
      <c r="J94" s="41"/>
      <c r="K94" s="41"/>
      <c r="L94" s="41"/>
      <c r="M94" s="41"/>
      <c r="N94" s="41"/>
      <c r="O94" s="41"/>
      <c r="P94" s="41"/>
      <c r="Q94" s="41"/>
      <c r="R94" s="41"/>
      <c r="S94" s="41"/>
      <c r="T94" s="41"/>
      <c r="U94" s="41"/>
      <c r="V94" s="41"/>
      <c r="W94" s="41"/>
      <c r="X94" s="41"/>
      <c r="Y94" s="41"/>
      <c r="Z94" s="41"/>
      <c r="AA94" s="41">
        <v>1</v>
      </c>
      <c r="AB94" s="41">
        <v>1</v>
      </c>
      <c r="AC94" s="56"/>
      <c r="AD94" s="41">
        <v>5.6</v>
      </c>
      <c r="AE94" s="41">
        <v>4.37</v>
      </c>
      <c r="AF94" s="41">
        <v>1</v>
      </c>
      <c r="AG94" s="41">
        <v>1</v>
      </c>
      <c r="AH94" s="41"/>
      <c r="AI94" s="41"/>
      <c r="AJ94" s="41"/>
      <c r="AK94" s="54"/>
      <c r="AL94" s="41"/>
      <c r="AM94" s="41"/>
      <c r="AN94" s="54">
        <v>1</v>
      </c>
      <c r="AO94" s="54"/>
      <c r="AP94" s="54"/>
      <c r="AQ94" s="54"/>
      <c r="AR94" s="54"/>
    </row>
    <row r="95" spans="1:44" x14ac:dyDescent="0.3">
      <c r="A95" s="24" t="s">
        <v>686</v>
      </c>
      <c r="B95" s="11"/>
      <c r="C95" s="32"/>
      <c r="D95" s="32"/>
      <c r="E95" s="32"/>
      <c r="F95" s="32"/>
      <c r="G95" s="55"/>
      <c r="H95" s="55"/>
      <c r="I95" s="41"/>
      <c r="J95" s="41"/>
      <c r="K95" s="41"/>
      <c r="L95" s="41"/>
      <c r="M95" s="41"/>
      <c r="N95" s="41"/>
      <c r="O95" s="41"/>
      <c r="P95" s="41"/>
      <c r="Q95" s="41"/>
      <c r="R95" s="41"/>
      <c r="S95" s="41"/>
      <c r="T95" s="41"/>
      <c r="U95" s="41"/>
      <c r="V95" s="41"/>
      <c r="W95" s="41"/>
      <c r="X95" s="41"/>
      <c r="Y95" s="41"/>
      <c r="Z95" s="41"/>
      <c r="AA95" s="41">
        <v>1</v>
      </c>
      <c r="AB95" s="41">
        <v>1</v>
      </c>
      <c r="AC95" s="56"/>
      <c r="AD95" s="41">
        <v>5.6</v>
      </c>
      <c r="AE95" s="41">
        <v>4.37</v>
      </c>
      <c r="AF95" s="41">
        <v>1</v>
      </c>
      <c r="AG95" s="41">
        <v>1</v>
      </c>
      <c r="AH95" s="41"/>
      <c r="AI95" s="41"/>
      <c r="AJ95" s="41"/>
      <c r="AK95" s="54"/>
      <c r="AL95" s="41"/>
      <c r="AM95" s="41"/>
      <c r="AN95" s="54">
        <v>1</v>
      </c>
      <c r="AO95" s="54"/>
      <c r="AP95" s="54"/>
      <c r="AQ95" s="54"/>
      <c r="AR95" s="54"/>
    </row>
    <row r="96" spans="1:44" x14ac:dyDescent="0.3">
      <c r="A96" s="24" t="s">
        <v>687</v>
      </c>
      <c r="B96" s="11"/>
      <c r="C96" s="32"/>
      <c r="D96" s="32"/>
      <c r="E96" s="32"/>
      <c r="F96" s="32"/>
      <c r="G96" s="55"/>
      <c r="H96" s="55"/>
      <c r="I96" s="41"/>
      <c r="J96" s="41"/>
      <c r="K96" s="41"/>
      <c r="L96" s="41"/>
      <c r="M96" s="41"/>
      <c r="N96" s="41"/>
      <c r="O96" s="41"/>
      <c r="P96" s="41"/>
      <c r="Q96" s="41"/>
      <c r="R96" s="41"/>
      <c r="S96" s="41"/>
      <c r="T96" s="41"/>
      <c r="U96" s="41"/>
      <c r="V96" s="41"/>
      <c r="W96" s="41"/>
      <c r="X96" s="41"/>
      <c r="Y96" s="41"/>
      <c r="Z96" s="41"/>
      <c r="AA96" s="41">
        <v>1</v>
      </c>
      <c r="AB96" s="41">
        <v>1</v>
      </c>
      <c r="AC96" s="56"/>
      <c r="AD96" s="41">
        <v>5.6</v>
      </c>
      <c r="AE96" s="41">
        <v>4.37</v>
      </c>
      <c r="AF96" s="41">
        <v>1</v>
      </c>
      <c r="AG96" s="41">
        <v>1</v>
      </c>
      <c r="AH96" s="41"/>
      <c r="AI96" s="41"/>
      <c r="AJ96" s="41"/>
      <c r="AK96" s="54"/>
      <c r="AL96" s="41"/>
      <c r="AM96" s="41"/>
      <c r="AN96" s="54">
        <v>1</v>
      </c>
      <c r="AO96" s="54"/>
      <c r="AP96" s="54"/>
      <c r="AQ96" s="54"/>
      <c r="AR96" s="54"/>
    </row>
  </sheetData>
  <autoFilter ref="A3:AL3" xr:uid="{00000000-0009-0000-0000-000002000000}"/>
  <mergeCells count="3">
    <mergeCell ref="G2:H2"/>
    <mergeCell ref="BO37:BP37"/>
    <mergeCell ref="BR37:BS37"/>
  </mergeCells>
  <phoneticPr fontId="6" type="noConversion"/>
  <hyperlinks>
    <hyperlink ref="BQ58" location="_ftnref1" display="_ftnref1" xr:uid="{00000000-0004-0000-0200-000000000000}"/>
  </hyperlinks>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election activeCell="B64" sqref="B64:E64"/>
    </sheetView>
  </sheetViews>
  <sheetFormatPr defaultRowHeight="12.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L27" sqref="L27"/>
    </sheetView>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election activeCell="M27" sqref="M27"/>
    </sheetView>
  </sheetViews>
  <sheetFormatPr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N255"/>
  <sheetViews>
    <sheetView zoomScale="85" zoomScaleNormal="85" workbookViewId="0">
      <pane ySplit="2" topLeftCell="A16" activePane="bottomLeft" state="frozen"/>
      <selection activeCell="M4" sqref="M4"/>
      <selection pane="bottomLeft" activeCell="E10" sqref="E10"/>
    </sheetView>
  </sheetViews>
  <sheetFormatPr defaultColWidth="0" defaultRowHeight="13" x14ac:dyDescent="0.3"/>
  <cols>
    <col min="1" max="1" width="5.453125" style="87" customWidth="1"/>
    <col min="2" max="2" width="35.1796875" style="87" customWidth="1"/>
    <col min="3" max="6" width="28.7265625" style="87" customWidth="1"/>
    <col min="7" max="7" width="28.7265625" style="88" customWidth="1"/>
    <col min="8" max="8" width="5.7265625" style="87" customWidth="1"/>
    <col min="9" max="9" width="10.453125" style="87" customWidth="1"/>
    <col min="10" max="10" width="42.453125" style="87" customWidth="1"/>
    <col min="11" max="12" width="31" style="87" hidden="1" customWidth="1"/>
    <col min="13" max="13" width="32.26953125" style="87" hidden="1" customWidth="1"/>
    <col min="14" max="14" width="38.26953125" style="87" hidden="1" customWidth="1"/>
    <col min="15" max="15" width="29" style="87" hidden="1" customWidth="1"/>
    <col min="16" max="16" width="32.7265625" style="87" hidden="1" customWidth="1"/>
    <col min="17" max="17" width="29" style="87" hidden="1" customWidth="1"/>
    <col min="18" max="18" width="33.7265625" style="87" hidden="1" customWidth="1"/>
    <col min="19" max="20" width="29" style="87" hidden="1" customWidth="1"/>
    <col min="21" max="21" width="18.81640625" style="87" hidden="1" customWidth="1"/>
    <col min="22" max="22" width="18.7265625" style="87" customWidth="1"/>
    <col min="23" max="28" width="27.26953125" style="87" customWidth="1"/>
    <col min="29" max="29" width="32.1796875" style="253" customWidth="1"/>
    <col min="30" max="31" width="16.54296875" style="87" customWidth="1"/>
    <col min="32" max="32" width="11.26953125" style="87" customWidth="1"/>
    <col min="33" max="39" width="9.1796875" style="87" customWidth="1"/>
    <col min="40" max="40" width="9.1796875" style="254" customWidth="1"/>
    <col min="41" max="61" width="9.1796875" style="87" customWidth="1"/>
    <col min="62" max="16384" width="0" style="87" hidden="1"/>
  </cols>
  <sheetData>
    <row r="1" spans="1:40" s="117" customFormat="1" ht="13.15" customHeight="1" x14ac:dyDescent="0.3">
      <c r="G1" s="118"/>
      <c r="AC1" s="119"/>
      <c r="AN1" s="120"/>
    </row>
    <row r="2" spans="1:40" s="117" customFormat="1" ht="36" customHeight="1" x14ac:dyDescent="0.3">
      <c r="B2" s="440" t="s">
        <v>688</v>
      </c>
      <c r="C2" s="416"/>
      <c r="D2" s="416"/>
      <c r="E2" s="416"/>
      <c r="F2" s="416"/>
      <c r="G2" s="416"/>
      <c r="AC2" s="119"/>
      <c r="AN2" s="120"/>
    </row>
    <row r="3" spans="1:40" s="117" customFormat="1" ht="15" customHeight="1" x14ac:dyDescent="0.3">
      <c r="AC3" s="119"/>
      <c r="AN3" s="120"/>
    </row>
    <row r="4" spans="1:40" s="117" customFormat="1" ht="32.15" customHeight="1" x14ac:dyDescent="0.3">
      <c r="A4" s="87"/>
      <c r="B4" s="422" t="s">
        <v>689</v>
      </c>
      <c r="C4" s="422"/>
      <c r="D4" s="422"/>
      <c r="E4" s="422"/>
      <c r="F4" s="422"/>
      <c r="G4" s="422"/>
      <c r="I4" s="517" t="s">
        <v>690</v>
      </c>
      <c r="J4" s="517"/>
      <c r="N4" s="86"/>
      <c r="O4" s="86"/>
      <c r="P4" s="86"/>
      <c r="Q4" s="86"/>
      <c r="R4" s="86"/>
      <c r="S4" s="86"/>
      <c r="T4" s="86"/>
      <c r="U4" s="86"/>
      <c r="V4" s="86"/>
      <c r="W4" s="86"/>
      <c r="X4" s="86"/>
      <c r="Y4" s="86"/>
      <c r="Z4" s="86"/>
      <c r="AA4" s="86"/>
      <c r="AB4" s="86"/>
    </row>
    <row r="5" spans="1:40" s="117" customFormat="1" ht="15" customHeight="1" x14ac:dyDescent="0.3">
      <c r="A5" s="87"/>
      <c r="B5" s="87"/>
      <c r="C5" s="87"/>
      <c r="D5" s="87"/>
      <c r="E5" s="87"/>
      <c r="F5" s="87"/>
      <c r="G5" s="87"/>
      <c r="I5" s="211"/>
      <c r="J5" s="294" t="s">
        <v>691</v>
      </c>
      <c r="N5" s="86"/>
      <c r="O5" s="86"/>
      <c r="P5" s="86"/>
      <c r="Q5" s="86"/>
      <c r="R5" s="86"/>
      <c r="S5" s="86"/>
      <c r="T5" s="86"/>
      <c r="U5" s="86"/>
      <c r="V5" s="86"/>
      <c r="W5" s="86"/>
      <c r="X5" s="86"/>
      <c r="Y5" s="86"/>
      <c r="Z5" s="86"/>
      <c r="AA5" s="86"/>
      <c r="AB5" s="86"/>
      <c r="AC5" s="86"/>
      <c r="AD5" s="86"/>
    </row>
    <row r="6" spans="1:40" s="117" customFormat="1" ht="15" customHeight="1" x14ac:dyDescent="0.3">
      <c r="A6" s="87"/>
      <c r="B6" s="434" t="s">
        <v>692</v>
      </c>
      <c r="C6" s="540"/>
      <c r="D6" s="541"/>
      <c r="E6" s="468"/>
      <c r="F6" s="87"/>
      <c r="G6" s="87"/>
      <c r="I6" s="212"/>
      <c r="J6" s="294" t="s">
        <v>693</v>
      </c>
      <c r="K6" s="517"/>
      <c r="L6" s="517"/>
      <c r="M6" s="518"/>
      <c r="N6" s="86"/>
      <c r="O6" s="86"/>
      <c r="P6" s="86"/>
      <c r="Q6" s="86"/>
      <c r="R6" s="86"/>
      <c r="S6" s="86"/>
      <c r="T6" s="86"/>
      <c r="U6" s="86"/>
      <c r="V6" s="86"/>
      <c r="W6" s="86"/>
      <c r="X6" s="86"/>
      <c r="Y6" s="86"/>
      <c r="Z6" s="86"/>
      <c r="AA6" s="86"/>
      <c r="AB6" s="86"/>
      <c r="AC6" s="86"/>
      <c r="AD6" s="86"/>
    </row>
    <row r="7" spans="1:40" s="117" customFormat="1" ht="15" customHeight="1" x14ac:dyDescent="0.3">
      <c r="A7" s="87"/>
      <c r="B7" s="87"/>
      <c r="C7" s="87"/>
      <c r="D7" s="87"/>
      <c r="E7" s="87"/>
      <c r="F7" s="87"/>
      <c r="G7" s="87"/>
      <c r="I7" s="213"/>
      <c r="J7" s="294" t="s">
        <v>694</v>
      </c>
      <c r="K7" s="518"/>
      <c r="L7" s="518"/>
      <c r="N7" s="86"/>
      <c r="O7" s="86"/>
      <c r="P7" s="86"/>
      <c r="Q7" s="86"/>
      <c r="R7" s="86"/>
      <c r="S7" s="86"/>
      <c r="T7" s="86"/>
      <c r="U7" s="86"/>
      <c r="V7" s="86"/>
      <c r="W7" s="86"/>
      <c r="X7" s="86"/>
      <c r="Y7" s="86"/>
      <c r="Z7" s="86"/>
      <c r="AA7" s="86"/>
      <c r="AB7" s="86"/>
      <c r="AC7" s="86"/>
      <c r="AD7" s="86"/>
    </row>
    <row r="8" spans="1:40" s="117" customFormat="1" ht="15" customHeight="1" x14ac:dyDescent="0.3">
      <c r="A8" s="87"/>
      <c r="B8" s="437" t="s">
        <v>695</v>
      </c>
      <c r="C8" s="542"/>
      <c r="D8" s="543"/>
      <c r="E8" s="470"/>
      <c r="F8" s="87"/>
      <c r="G8" s="87"/>
      <c r="I8" s="292" t="s">
        <v>696</v>
      </c>
      <c r="J8" s="545" t="s">
        <v>697</v>
      </c>
      <c r="K8" s="545"/>
      <c r="L8" s="545"/>
      <c r="M8" s="545"/>
      <c r="N8" s="86"/>
      <c r="O8" s="86"/>
      <c r="P8" s="86"/>
      <c r="Q8" s="86"/>
      <c r="R8" s="86"/>
      <c r="S8" s="86"/>
      <c r="T8" s="86"/>
      <c r="U8" s="86"/>
      <c r="V8" s="86"/>
      <c r="W8" s="86"/>
      <c r="X8" s="86"/>
      <c r="Y8" s="86"/>
      <c r="Z8" s="86"/>
      <c r="AA8" s="86"/>
      <c r="AB8" s="86"/>
      <c r="AC8" s="86"/>
      <c r="AD8" s="86"/>
    </row>
    <row r="9" spans="1:40" s="117" customFormat="1" ht="15" customHeight="1" x14ac:dyDescent="0.3">
      <c r="A9" s="87"/>
      <c r="B9" s="87"/>
      <c r="C9" s="467"/>
      <c r="D9" s="468"/>
      <c r="E9" s="468"/>
      <c r="F9" s="87"/>
      <c r="G9" s="87"/>
      <c r="I9" s="469"/>
      <c r="J9" s="545"/>
      <c r="K9" s="545"/>
      <c r="L9" s="545"/>
      <c r="M9" s="545"/>
      <c r="N9" s="86"/>
      <c r="O9" s="86"/>
      <c r="P9" s="86"/>
      <c r="Q9" s="86"/>
      <c r="R9" s="86"/>
      <c r="S9" s="86"/>
      <c r="T9" s="86"/>
      <c r="U9" s="86"/>
      <c r="V9" s="86"/>
      <c r="W9" s="86"/>
      <c r="X9" s="86"/>
      <c r="Y9" s="86"/>
      <c r="Z9" s="86"/>
      <c r="AA9" s="86"/>
      <c r="AB9" s="86"/>
      <c r="AC9" s="86"/>
      <c r="AD9" s="86"/>
    </row>
    <row r="10" spans="1:40" s="117" customFormat="1" ht="15" customHeight="1" x14ac:dyDescent="0.3">
      <c r="A10" s="87"/>
      <c r="B10" s="466" t="s">
        <v>698</v>
      </c>
      <c r="C10" s="559" t="s">
        <v>699</v>
      </c>
      <c r="D10" s="559"/>
      <c r="E10" s="470"/>
      <c r="F10" s="87"/>
      <c r="G10" s="87"/>
      <c r="I10" s="469"/>
      <c r="J10" s="545"/>
      <c r="K10" s="545"/>
      <c r="L10" s="545"/>
      <c r="M10" s="545"/>
      <c r="N10" s="86"/>
      <c r="O10" s="86"/>
      <c r="P10" s="86"/>
      <c r="Q10" s="86"/>
      <c r="R10" s="86"/>
      <c r="S10" s="86"/>
      <c r="T10" s="86"/>
      <c r="U10" s="86"/>
      <c r="V10" s="86"/>
      <c r="W10" s="86"/>
      <c r="X10" s="86"/>
      <c r="Y10" s="86"/>
      <c r="Z10" s="86"/>
      <c r="AA10" s="86"/>
      <c r="AB10" s="86"/>
      <c r="AC10" s="86"/>
      <c r="AD10" s="86"/>
    </row>
    <row r="11" spans="1:40" s="117" customFormat="1" ht="15" customHeight="1" x14ac:dyDescent="0.3">
      <c r="A11" s="87"/>
      <c r="B11" s="109"/>
      <c r="C11" s="109"/>
      <c r="D11" s="87"/>
      <c r="E11" s="87"/>
      <c r="F11" s="87"/>
      <c r="G11" s="88"/>
      <c r="J11" s="545"/>
      <c r="K11" s="545"/>
      <c r="L11" s="545"/>
      <c r="M11" s="545"/>
      <c r="AC11" s="119"/>
      <c r="AN11" s="120"/>
    </row>
    <row r="12" spans="1:40" s="117" customFormat="1" ht="25" customHeight="1" x14ac:dyDescent="0.3">
      <c r="A12" s="87"/>
      <c r="B12" s="423" t="s">
        <v>700</v>
      </c>
      <c r="C12" s="425" t="s">
        <v>701</v>
      </c>
      <c r="D12" s="427"/>
      <c r="E12" s="426" t="s">
        <v>702</v>
      </c>
      <c r="F12" s="424" t="s">
        <v>703</v>
      </c>
      <c r="G12" s="424" t="s">
        <v>704</v>
      </c>
      <c r="J12" s="545"/>
      <c r="K12" s="545"/>
      <c r="L12" s="545"/>
      <c r="M12" s="545"/>
      <c r="W12" s="122"/>
      <c r="X12" s="122"/>
      <c r="Y12" s="122"/>
      <c r="Z12" s="122"/>
      <c r="AA12" s="122"/>
      <c r="AB12" s="122"/>
      <c r="AC12" s="122"/>
      <c r="AN12" s="120"/>
    </row>
    <row r="13" spans="1:40" s="117" customFormat="1" ht="30" customHeight="1" x14ac:dyDescent="0.3">
      <c r="A13" s="87"/>
      <c r="B13" s="235" t="str">
        <f>'Activity database'!A4</f>
        <v>Office</v>
      </c>
      <c r="C13" s="555" t="str">
        <f>VLOOKUP(B13,'Activity database'!A:B,2,FALSE)</f>
        <v>Offices and workshop business (including those with a basic (category 1) laboratory area)</v>
      </c>
      <c r="D13" s="556"/>
      <c r="E13" s="93" t="str">
        <f>IF(O138=0,Q137,O138)</f>
        <v>Requires building information</v>
      </c>
      <c r="F13" s="90">
        <f>VLOOKUP(B13,'Activity database'!A:AN,4,FALSE)</f>
        <v>253</v>
      </c>
      <c r="G13" s="90">
        <f>VLOOKUP(B13,'Activity database'!A:AN,5,FALSE)</f>
        <v>10</v>
      </c>
      <c r="W13" s="123"/>
      <c r="X13" s="124"/>
      <c r="Y13" s="124"/>
      <c r="Z13" s="124"/>
      <c r="AA13" s="124"/>
      <c r="AB13" s="124"/>
      <c r="AC13" s="124"/>
      <c r="AN13" s="120"/>
    </row>
    <row r="14" spans="1:40" s="117" customFormat="1" ht="17.25" customHeight="1" x14ac:dyDescent="0.3">
      <c r="A14" s="87"/>
      <c r="B14" s="87"/>
      <c r="C14" s="87"/>
      <c r="D14" s="87"/>
      <c r="E14" s="87"/>
      <c r="F14" s="110"/>
      <c r="G14" s="88"/>
      <c r="X14" s="121"/>
      <c r="AC14" s="119"/>
      <c r="AN14" s="120"/>
    </row>
    <row r="15" spans="1:40" s="117" customFormat="1" ht="25" customHeight="1" x14ac:dyDescent="0.3">
      <c r="A15" s="87"/>
      <c r="B15" s="425" t="s">
        <v>705</v>
      </c>
      <c r="C15" s="425" t="s">
        <v>706</v>
      </c>
      <c r="D15" s="428"/>
      <c r="E15" s="427"/>
      <c r="F15" s="424" t="s">
        <v>707</v>
      </c>
      <c r="G15" s="424" t="s">
        <v>708</v>
      </c>
      <c r="H15" s="557" t="s">
        <v>709</v>
      </c>
      <c r="I15" s="558"/>
      <c r="J15" s="558"/>
      <c r="K15" s="558"/>
      <c r="L15" s="558"/>
      <c r="M15" s="558"/>
      <c r="N15" s="558"/>
      <c r="O15" s="558"/>
      <c r="X15" s="87"/>
    </row>
    <row r="16" spans="1:40" s="117" customFormat="1" ht="50.15" customHeight="1" x14ac:dyDescent="0.3">
      <c r="A16" s="293" t="str">
        <f>IF(F16=$Q$129,"&gt;",IF(AND(F16=$Q$130,G16=""),"&gt;",""))</f>
        <v>&gt;</v>
      </c>
      <c r="B16" s="235" t="str">
        <f>'Activity database'!A5</f>
        <v>Office - Office areas</v>
      </c>
      <c r="C16" s="553" t="str">
        <f>VLOOKUP(B16,'Activity database'!A:B,2,FALSE)</f>
        <v>Cellular or open plan office space, including staff kitchen where present/adjacent and reception areas. Exlcude meeting rooms, visitor waiting or circulation areas.</v>
      </c>
      <c r="D16" s="553"/>
      <c r="E16" s="553"/>
      <c r="F16" s="218" t="s">
        <v>699</v>
      </c>
      <c r="G16" s="219"/>
      <c r="H16" s="558"/>
      <c r="I16" s="558"/>
      <c r="J16" s="558"/>
      <c r="K16" s="558"/>
      <c r="L16" s="558"/>
      <c r="M16" s="558"/>
      <c r="N16" s="558"/>
      <c r="O16" s="558"/>
      <c r="X16" s="87"/>
    </row>
    <row r="17" spans="1:28" s="117" customFormat="1" ht="50.15" customHeight="1" x14ac:dyDescent="0.3">
      <c r="A17" s="293" t="str">
        <f>IF(F17=$Q$129,"&gt;",IF(AND(F17=$Q$130,G17=""),"&gt;",""))</f>
        <v>&gt;</v>
      </c>
      <c r="B17" s="235" t="str">
        <f>'Activity database'!A7</f>
        <v>Office - Small workshop / laboratory space</v>
      </c>
      <c r="C17" s="546" t="str">
        <f>VLOOKUP(B17,'Activity database'!A:B,2,FALSE)</f>
        <v>Small scale workshop or category 1 laboratory area</v>
      </c>
      <c r="D17" s="546"/>
      <c r="E17" s="546"/>
      <c r="F17" s="218" t="s">
        <v>699</v>
      </c>
      <c r="G17" s="219"/>
      <c r="X17" s="87"/>
    </row>
    <row r="18" spans="1:28" s="117" customFormat="1" ht="50.15" customHeight="1" x14ac:dyDescent="0.3">
      <c r="A18" s="293" t="str">
        <f>IF(F18=$Q$129,"&gt;",IF(AND(F18=$Q$130,G18=""),"&gt;",""))</f>
        <v>&gt;</v>
      </c>
      <c r="B18" s="235" t="str">
        <f>'Activity database'!A6</f>
        <v>Office - Staff canteen dining area</v>
      </c>
      <c r="C18" s="546" t="str">
        <f>VLOOKUP(B18,'Activity database'!A:B,2,FALSE)</f>
        <v>Seated dining areas that accompany a permanently staffed kitchen preparing food for consumption on the premises (excludes small un-staffed kitchen's used by office staff to re-heat food, make tea etc.)</v>
      </c>
      <c r="D18" s="546"/>
      <c r="E18" s="546"/>
      <c r="F18" s="218" t="s">
        <v>699</v>
      </c>
      <c r="G18" s="219"/>
      <c r="H18" s="547" t="s">
        <v>710</v>
      </c>
      <c r="I18" s="548"/>
      <c r="J18" s="548"/>
      <c r="K18" s="548"/>
      <c r="L18" s="548"/>
      <c r="M18" s="548"/>
      <c r="N18" s="548"/>
      <c r="O18" s="548"/>
      <c r="X18" s="87"/>
      <c r="Y18" s="125"/>
      <c r="Z18" s="125"/>
      <c r="AA18" s="125"/>
      <c r="AB18" s="125"/>
    </row>
    <row r="19" spans="1:28" s="117" customFormat="1" ht="50.15" customHeight="1" x14ac:dyDescent="0.3">
      <c r="A19" s="293" t="str">
        <f>IF(F19=$Q$129,"&gt;","")</f>
        <v>&gt;</v>
      </c>
      <c r="B19" s="235" t="str">
        <f>'Activity database'!A8</f>
        <v>Office - Fitness suite/gym (with changing facility and showers)</v>
      </c>
      <c r="C19" s="546" t="str">
        <f>VLOOKUP(B19,'Activity database'!A:B,2,FALSE)</f>
        <v>A fitness suite or gym that is part of the office building/development  and used by the building's employees only. The gym will have its own changing facility with showers.</v>
      </c>
      <c r="D19" s="546"/>
      <c r="E19" s="546"/>
      <c r="F19" s="218" t="s">
        <v>699</v>
      </c>
      <c r="G19" s="215"/>
      <c r="H19" s="549" t="str">
        <f>IF(F19=Q130,"Note: Net floor area is not required for this activity. Its inclusion (or otherwise) simply determines the usage/person/day factor and therefore resulting water consumption from the showers.","")</f>
        <v/>
      </c>
      <c r="I19" s="550"/>
      <c r="J19" s="550"/>
      <c r="K19" s="550"/>
      <c r="L19" s="550"/>
      <c r="M19" s="550"/>
      <c r="N19" s="550"/>
      <c r="O19" s="550"/>
      <c r="X19" s="121"/>
      <c r="Y19" s="126"/>
      <c r="Z19" s="126"/>
      <c r="AA19" s="126"/>
      <c r="AB19" s="126"/>
    </row>
    <row r="20" spans="1:28" s="117" customFormat="1" ht="25" customHeight="1" x14ac:dyDescent="0.3">
      <c r="A20" s="87"/>
      <c r="B20" s="87"/>
      <c r="C20" s="87"/>
      <c r="D20" s="87"/>
      <c r="E20" s="87"/>
      <c r="F20" s="87"/>
      <c r="G20" s="88"/>
      <c r="X20" s="127"/>
      <c r="Y20" s="127"/>
      <c r="Z20" s="127"/>
      <c r="AA20" s="127"/>
      <c r="AB20" s="127"/>
    </row>
    <row r="21" spans="1:28" s="117" customFormat="1" ht="32.15" customHeight="1" x14ac:dyDescent="0.3">
      <c r="A21" s="87"/>
      <c r="B21" s="422" t="s">
        <v>711</v>
      </c>
      <c r="C21" s="422"/>
      <c r="D21" s="422"/>
      <c r="E21" s="422"/>
      <c r="F21" s="422"/>
      <c r="G21" s="422"/>
    </row>
    <row r="22" spans="1:28" s="117" customFormat="1" ht="25" customHeight="1" x14ac:dyDescent="0.3">
      <c r="A22" s="87"/>
      <c r="B22" s="87"/>
      <c r="C22" s="87"/>
      <c r="D22" s="87"/>
      <c r="E22" s="87"/>
      <c r="F22" s="87"/>
      <c r="G22" s="88"/>
      <c r="X22" s="87"/>
      <c r="Y22" s="87"/>
      <c r="Z22" s="87"/>
      <c r="AA22" s="87"/>
      <c r="AB22" s="87"/>
    </row>
    <row r="23" spans="1:28" s="117" customFormat="1" ht="25" customHeight="1" x14ac:dyDescent="0.3">
      <c r="A23" s="87"/>
      <c r="B23" s="425" t="s">
        <v>712</v>
      </c>
      <c r="C23" s="424" t="s">
        <v>713</v>
      </c>
      <c r="D23" s="424" t="s">
        <v>714</v>
      </c>
      <c r="E23" s="424" t="s">
        <v>715</v>
      </c>
      <c r="F23" s="424" t="s">
        <v>716</v>
      </c>
      <c r="G23" s="424" t="s">
        <v>717</v>
      </c>
      <c r="N23" s="279" t="str">
        <f>B23</f>
        <v>WC component - all activity areas</v>
      </c>
      <c r="O23" s="276" t="s">
        <v>718</v>
      </c>
      <c r="P23" s="276" t="s">
        <v>715</v>
      </c>
      <c r="Q23" s="276" t="s">
        <v>716</v>
      </c>
      <c r="R23" s="276" t="s">
        <v>719</v>
      </c>
    </row>
    <row r="24" spans="1:28" s="117" customFormat="1" ht="15" customHeight="1" x14ac:dyDescent="0.3">
      <c r="A24" s="293" t="str">
        <f>IF(B24=$Q$129,"&gt;","")</f>
        <v>&gt;</v>
      </c>
      <c r="B24" s="220" t="s">
        <v>699</v>
      </c>
      <c r="C24" s="93" t="s">
        <v>720</v>
      </c>
      <c r="D24" s="221">
        <v>5</v>
      </c>
      <c r="E24" s="94" t="str">
        <f>IF(B24=R129,"",IF(B24=R130,VLOOKUP($B$13,'Activity database'!$A:$AN,9,FALSE),IF(B24=R131,VLOOKUP($B$13,'Activity database'!$A:$BY,10,FALSE))))</f>
        <v/>
      </c>
      <c r="F24" s="94">
        <f>VLOOKUP($B$13,'Activity database'!$A:$BY,27,FALSE)</f>
        <v>1</v>
      </c>
      <c r="G24" s="92" t="str">
        <f>IF(ISERROR((D24*E24*F24*(VLOOKUP(B13,'Activity database'!A:BA,7,FALSE)))),Q137,(D24*E24*F24*(VLOOKUP(B13,'Activity database'!A:BA,7,FALSE))))</f>
        <v>Requires building information</v>
      </c>
      <c r="H24" s="294" t="str">
        <f>IF(B24=R129,"Note: please seelct the relevant option for WC component opposite","")</f>
        <v>Note: please seelct the relevant option for WC component opposite</v>
      </c>
      <c r="N24" s="169" t="str">
        <f>B24</f>
        <v>Please select</v>
      </c>
      <c r="O24" s="94" t="e">
        <f>IF($D$24="",0,VLOOKUP($N$24,'Activity database'!$AT:$BA,2,FALSE))</f>
        <v>#N/A</v>
      </c>
      <c r="P24" s="94" t="str">
        <f>E24</f>
        <v/>
      </c>
      <c r="Q24" s="94">
        <f>F24</f>
        <v>1</v>
      </c>
      <c r="R24" s="92" t="e">
        <f>IF($D$24="",0,O24*$P$24*$Q$24*(VLOOKUP($B$13,'Activity database'!$A:$BA,7,FALSE)))</f>
        <v>#N/A</v>
      </c>
    </row>
    <row r="25" spans="1:28" s="117" customFormat="1" ht="15" customHeight="1" x14ac:dyDescent="0.3">
      <c r="A25" s="87"/>
      <c r="B25" s="101" t="str">
        <f>'Activity database'!K3</f>
        <v>WC - female</v>
      </c>
      <c r="C25" s="93" t="s">
        <v>720</v>
      </c>
      <c r="D25" s="221"/>
      <c r="E25" s="94">
        <f>VLOOKUP($B$13,'Activity database'!$A:$BY,11,FALSE)</f>
        <v>4</v>
      </c>
      <c r="F25" s="94">
        <f>VLOOKUP($B$13,'Activity database'!$A:$BY,27,FALSE)</f>
        <v>1</v>
      </c>
      <c r="G25" s="92">
        <f>D25*E25*F25*(VLOOKUP(B13,'Activity database'!A:BA,8,FALSE))</f>
        <v>0</v>
      </c>
      <c r="H25" s="544" t="s">
        <v>721</v>
      </c>
      <c r="I25" s="544"/>
      <c r="J25" s="544"/>
      <c r="K25" s="544"/>
      <c r="L25" s="544"/>
      <c r="M25" s="544"/>
      <c r="N25" s="239" t="str">
        <f>B25</f>
        <v>WC - female</v>
      </c>
      <c r="O25" s="94">
        <f>IF($D$25="",0,VLOOKUP($N$25,'Activity database'!$AT:$BA,2,FALSE))</f>
        <v>0</v>
      </c>
      <c r="P25" s="94">
        <f>E25</f>
        <v>4</v>
      </c>
      <c r="Q25" s="94">
        <f>F25</f>
        <v>1</v>
      </c>
      <c r="R25" s="92">
        <f>IF($D$25="",0,O25*$P$25*$Q$25*(VLOOKUP($B$13,'Activity database'!$A:$BA,8,FALSE)))</f>
        <v>0</v>
      </c>
    </row>
    <row r="26" spans="1:28" s="117" customFormat="1" ht="12.75" customHeight="1" x14ac:dyDescent="0.3">
      <c r="A26" s="87"/>
      <c r="B26" s="87"/>
      <c r="C26" s="87"/>
      <c r="D26" s="87"/>
      <c r="E26" s="87"/>
      <c r="F26" s="87"/>
      <c r="G26" s="88"/>
      <c r="H26" s="544"/>
      <c r="I26" s="544"/>
      <c r="J26" s="544"/>
      <c r="K26" s="544"/>
      <c r="L26" s="544"/>
      <c r="M26" s="544"/>
    </row>
    <row r="27" spans="1:28" s="117" customFormat="1" ht="25" customHeight="1" x14ac:dyDescent="0.3">
      <c r="A27" s="87"/>
      <c r="B27" s="425" t="s">
        <v>722</v>
      </c>
      <c r="C27" s="424" t="s">
        <v>713</v>
      </c>
      <c r="D27" s="424" t="s">
        <v>714</v>
      </c>
      <c r="E27" s="424" t="s">
        <v>723</v>
      </c>
      <c r="F27" s="424" t="s">
        <v>724</v>
      </c>
      <c r="G27" s="424" t="s">
        <v>717</v>
      </c>
      <c r="H27" s="544"/>
      <c r="I27" s="544"/>
      <c r="J27" s="544"/>
      <c r="K27" s="544"/>
      <c r="L27" s="544"/>
      <c r="M27" s="544"/>
      <c r="N27" s="272" t="s">
        <v>722</v>
      </c>
      <c r="O27" s="111" t="s">
        <v>718</v>
      </c>
      <c r="P27" s="111" t="s">
        <v>725</v>
      </c>
      <c r="Q27" s="111" t="s">
        <v>726</v>
      </c>
      <c r="R27" s="111" t="s">
        <v>719</v>
      </c>
    </row>
    <row r="28" spans="1:28" s="117" customFormat="1" ht="15" customHeight="1" x14ac:dyDescent="0.3">
      <c r="A28" s="293" t="str">
        <f>IF(AND(D28&gt;0,OR(E28="",F28="")),"&gt;","")</f>
        <v/>
      </c>
      <c r="B28" s="551" t="s">
        <v>727</v>
      </c>
      <c r="C28" s="93" t="s">
        <v>728</v>
      </c>
      <c r="D28" s="221"/>
      <c r="E28" s="222"/>
      <c r="F28" s="222"/>
      <c r="G28" s="92">
        <f>IF(OR(D28=0,E28=0,F28=0,B24=R131),0,(D28*E28*F28*G13)/O138)</f>
        <v>0</v>
      </c>
      <c r="H28" s="129"/>
      <c r="I28" s="128"/>
      <c r="J28" s="128"/>
      <c r="K28" s="128"/>
      <c r="L28" s="128"/>
      <c r="M28" s="121"/>
      <c r="N28" s="289" t="str">
        <f>B28</f>
        <v>Automatically operated flushing cistern</v>
      </c>
      <c r="O28" s="288">
        <f>IF($D$28=0,0,IF($D$29=1,'Activity database'!$AU$11,'Activity database'!$AU$10))</f>
        <v>0</v>
      </c>
      <c r="P28" s="90">
        <f>O28*$G$13</f>
        <v>0</v>
      </c>
      <c r="Q28" s="94">
        <f>P28*$D$29</f>
        <v>0</v>
      </c>
      <c r="R28" s="94" t="e">
        <f>IF(B24=R131,0,$Q$28/O138)</f>
        <v>#DIV/0!</v>
      </c>
    </row>
    <row r="29" spans="1:28" s="117" customFormat="1" ht="15" customHeight="1" x14ac:dyDescent="0.3">
      <c r="A29" s="293" t="str">
        <f>IF(AND(D28&gt;0,D29=""),"&gt;","")</f>
        <v/>
      </c>
      <c r="B29" s="552"/>
      <c r="C29" s="93" t="s">
        <v>729</v>
      </c>
      <c r="D29" s="221"/>
      <c r="E29" s="87"/>
      <c r="F29" s="87"/>
      <c r="G29" s="87"/>
      <c r="H29" s="131"/>
      <c r="M29" s="130"/>
      <c r="N29" s="87"/>
      <c r="O29" s="87"/>
      <c r="P29" s="87"/>
      <c r="Q29" s="87"/>
      <c r="R29" s="87"/>
    </row>
    <row r="30" spans="1:28" s="117" customFormat="1" ht="25" customHeight="1" x14ac:dyDescent="0.3">
      <c r="A30" s="87"/>
      <c r="B30" s="425"/>
      <c r="C30" s="424" t="s">
        <v>713</v>
      </c>
      <c r="D30" s="424" t="s">
        <v>714</v>
      </c>
      <c r="E30" s="424" t="s">
        <v>715</v>
      </c>
      <c r="F30" s="424" t="s">
        <v>716</v>
      </c>
      <c r="G30" s="424" t="s">
        <v>717</v>
      </c>
      <c r="H30" s="129"/>
      <c r="N30" s="272" t="s">
        <v>722</v>
      </c>
      <c r="O30" s="111" t="s">
        <v>718</v>
      </c>
      <c r="P30" s="111" t="s">
        <v>715</v>
      </c>
      <c r="Q30" s="111" t="s">
        <v>716</v>
      </c>
      <c r="R30" s="111" t="s">
        <v>719</v>
      </c>
    </row>
    <row r="31" spans="1:28" s="117" customFormat="1" ht="15" customHeight="1" x14ac:dyDescent="0.3">
      <c r="A31" s="87"/>
      <c r="B31" s="551" t="s">
        <v>730</v>
      </c>
      <c r="C31" s="93" t="s">
        <v>731</v>
      </c>
      <c r="D31" s="222"/>
      <c r="E31" s="94">
        <f>VLOOKUP($B$13,'Activity database'!$A:$AN,12,FALSE)</f>
        <v>3</v>
      </c>
      <c r="F31" s="94">
        <f>VLOOKUP($B$13,'Activity database'!$A:$AN,28,FALSE)</f>
        <v>1</v>
      </c>
      <c r="G31" s="92">
        <f>IF(OR(D31=0,E31=0,F31=0,B24=R131),0,(D31*E31*F31)*(VLOOKUP(B13,'Activity database'!A:BA,7,FALSE))*(D32/(D29+D32+D35)))</f>
        <v>0</v>
      </c>
      <c r="H31" s="544" t="str">
        <f>IF(B24=R131,"",N142)</f>
        <v>Note: This consumption total accounts for the ratio of male users for this building type i.e. the ratio of building users who will operate the flush. Where more than one type of urinal flushing control is specified in the building, this consumption figure is adjusted by a ratio of use. the ratio is determined according to the proportion of urinals bowls in the building operated using this type of control.</v>
      </c>
      <c r="I31" s="544"/>
      <c r="J31" s="544"/>
      <c r="K31" s="544"/>
      <c r="L31" s="544"/>
      <c r="M31" s="544"/>
      <c r="N31" s="287" t="str">
        <f>B31</f>
        <v>Manual/automatic operated pressure flushing valve (all activity areas)</v>
      </c>
      <c r="O31" s="94">
        <f>'Activity database'!$AU$12</f>
        <v>1.5</v>
      </c>
      <c r="P31" s="94">
        <f>E31</f>
        <v>3</v>
      </c>
      <c r="Q31" s="94">
        <f>F31</f>
        <v>1</v>
      </c>
      <c r="R31" s="94" t="e">
        <f>IF(B24=R131,0,IF($D$31="",0,$O$31*$P$31*$Q$31*(VLOOKUP(B13,'Activity database'!$A:$BA,7,FALSE)))*(D32/(D29+D32+D35)))</f>
        <v>#DIV/0!</v>
      </c>
    </row>
    <row r="32" spans="1:28" s="117" customFormat="1" ht="15" customHeight="1" x14ac:dyDescent="0.3">
      <c r="A32" s="293" t="str">
        <f>IF(AND(D31&gt;0,D32=""),"&gt;","")</f>
        <v/>
      </c>
      <c r="B32" s="553"/>
      <c r="C32" s="95" t="s">
        <v>729</v>
      </c>
      <c r="D32" s="221"/>
      <c r="E32" s="87"/>
      <c r="F32" s="87"/>
      <c r="G32" s="87"/>
      <c r="H32" s="544"/>
      <c r="I32" s="544"/>
      <c r="J32" s="544"/>
      <c r="K32" s="544"/>
      <c r="L32" s="544"/>
      <c r="M32" s="544"/>
      <c r="N32" s="113"/>
      <c r="O32" s="280"/>
      <c r="P32" s="87"/>
      <c r="Q32" s="87"/>
      <c r="R32" s="87"/>
    </row>
    <row r="33" spans="1:18" s="117" customFormat="1" ht="25" customHeight="1" x14ac:dyDescent="0.3">
      <c r="A33" s="87"/>
      <c r="B33" s="425"/>
      <c r="C33" s="424" t="s">
        <v>713</v>
      </c>
      <c r="D33" s="424" t="s">
        <v>714</v>
      </c>
      <c r="E33" s="424" t="s">
        <v>715</v>
      </c>
      <c r="F33" s="424" t="s">
        <v>716</v>
      </c>
      <c r="G33" s="424" t="s">
        <v>717</v>
      </c>
      <c r="H33" s="544"/>
      <c r="I33" s="544"/>
      <c r="J33" s="544"/>
      <c r="K33" s="544"/>
      <c r="L33" s="544"/>
      <c r="M33" s="544"/>
      <c r="N33" s="272" t="s">
        <v>722</v>
      </c>
      <c r="O33" s="111" t="s">
        <v>718</v>
      </c>
      <c r="P33" s="111" t="s">
        <v>715</v>
      </c>
      <c r="Q33" s="111" t="s">
        <v>716</v>
      </c>
      <c r="R33" s="111" t="s">
        <v>719</v>
      </c>
    </row>
    <row r="34" spans="1:18" s="117" customFormat="1" ht="15" customHeight="1" x14ac:dyDescent="0.3">
      <c r="A34" s="293" t="str">
        <f>IF(B24=R131,"",IF(D34=$Q$129,"&gt;",""))</f>
        <v>&gt;</v>
      </c>
      <c r="B34" s="551" t="s">
        <v>732</v>
      </c>
      <c r="C34" s="93" t="s">
        <v>731</v>
      </c>
      <c r="D34" s="218" t="s">
        <v>699</v>
      </c>
      <c r="E34" s="94">
        <f>VLOOKUP($B$13,'Activity database'!$A:$AN,12,FALSE)</f>
        <v>3</v>
      </c>
      <c r="F34" s="94">
        <f>VLOOKUP($B$13,'Activity database'!$A:$AN,28,FALSE)</f>
        <v>1</v>
      </c>
      <c r="G34" s="92">
        <v>0</v>
      </c>
      <c r="H34" s="545" t="str">
        <f>IF(OR(B24=R131,B24=R129,D34=P131),"",IF(AND(D34=P130,D35&gt;0),N143,IF(OR(D34=R129,D34=P130),N144)))</f>
        <v/>
      </c>
      <c r="I34" s="545"/>
      <c r="J34" s="545"/>
      <c r="K34" s="545"/>
      <c r="L34" s="545"/>
      <c r="M34" s="545"/>
      <c r="N34" s="287" t="str">
        <f>B34</f>
        <v>Waterless urinals (all activity areas)</v>
      </c>
      <c r="O34" s="291">
        <f>'Activity database'!$AU$12</f>
        <v>1.5</v>
      </c>
      <c r="P34" s="94">
        <f>E34</f>
        <v>3</v>
      </c>
      <c r="Q34" s="94">
        <f>F34</f>
        <v>1</v>
      </c>
      <c r="R34" s="94" t="e">
        <f>IF(B24=R131,0,IF(OR($D$34="",$D$34=P129,$D$34=P131),0,$O$34*$P$34*$Q$34*(VLOOKUP(B13,'Activity database'!A:BA,7,FALSE)))*(D35/(D28+D32+D35)))</f>
        <v>#DIV/0!</v>
      </c>
    </row>
    <row r="35" spans="1:18" s="117" customFormat="1" ht="15" customHeight="1" x14ac:dyDescent="0.3">
      <c r="A35" s="293" t="str">
        <f>IF(AND(D34=P130,D35=""),"&gt;","")</f>
        <v/>
      </c>
      <c r="B35" s="554"/>
      <c r="C35" s="95" t="s">
        <v>729</v>
      </c>
      <c r="D35" s="221"/>
      <c r="E35" s="87"/>
      <c r="F35" s="87"/>
      <c r="G35" s="87"/>
      <c r="H35" s="545"/>
      <c r="I35" s="545"/>
      <c r="J35" s="545"/>
      <c r="K35" s="545"/>
      <c r="L35" s="545"/>
      <c r="M35" s="545"/>
    </row>
    <row r="36" spans="1:18" s="117" customFormat="1" ht="18" customHeight="1" x14ac:dyDescent="0.3">
      <c r="A36" s="87"/>
      <c r="B36" s="87"/>
      <c r="C36" s="87"/>
      <c r="D36" s="87"/>
      <c r="E36" s="87"/>
      <c r="F36" s="87"/>
      <c r="G36" s="88"/>
      <c r="H36" s="545"/>
      <c r="I36" s="545"/>
      <c r="J36" s="545"/>
      <c r="K36" s="545"/>
      <c r="L36" s="545"/>
      <c r="M36" s="545"/>
    </row>
    <row r="37" spans="1:18" s="117" customFormat="1" ht="25" customHeight="1" x14ac:dyDescent="0.3">
      <c r="A37" s="87"/>
      <c r="B37" s="87"/>
      <c r="C37" s="429" t="s">
        <v>713</v>
      </c>
      <c r="D37" s="429" t="s">
        <v>714</v>
      </c>
      <c r="E37" s="429" t="s">
        <v>715</v>
      </c>
      <c r="F37" s="429" t="s">
        <v>716</v>
      </c>
      <c r="G37" s="429" t="s">
        <v>717</v>
      </c>
      <c r="H37" s="545"/>
      <c r="I37" s="545"/>
      <c r="J37" s="545"/>
      <c r="K37" s="545"/>
      <c r="L37" s="545"/>
      <c r="M37" s="545"/>
    </row>
    <row r="38" spans="1:18" s="117" customFormat="1" ht="25" customHeight="1" x14ac:dyDescent="0.3">
      <c r="A38" s="87"/>
      <c r="B38" s="430" t="s">
        <v>733</v>
      </c>
      <c r="C38" s="431"/>
      <c r="D38" s="431"/>
      <c r="E38" s="431"/>
      <c r="F38" s="431"/>
      <c r="G38" s="432"/>
      <c r="I38" s="87"/>
      <c r="N38" s="271" t="str">
        <f>B38</f>
        <v xml:space="preserve">Taps  components (personal hygiene) - all activity areas </v>
      </c>
      <c r="O38" s="111" t="s">
        <v>734</v>
      </c>
      <c r="P38" s="111" t="s">
        <v>715</v>
      </c>
      <c r="Q38" s="111" t="s">
        <v>716</v>
      </c>
      <c r="R38" s="111" t="s">
        <v>719</v>
      </c>
    </row>
    <row r="39" spans="1:18" s="117" customFormat="1" ht="15" customHeight="1" x14ac:dyDescent="0.3">
      <c r="A39" s="87"/>
      <c r="B39" s="103" t="str">
        <f>'Activity database'!M3</f>
        <v>Wash hand basin taps</v>
      </c>
      <c r="C39" s="94" t="s">
        <v>735</v>
      </c>
      <c r="D39" s="221"/>
      <c r="E39" s="94">
        <f>VLOOKUP($B$13,'Activity database'!$A:$AN,13,FALSE)</f>
        <v>4</v>
      </c>
      <c r="F39" s="94">
        <f>VLOOKUP($B$13,'Activity database'!$A:$AN,29,FALSE)</f>
        <v>0.25</v>
      </c>
      <c r="G39" s="92">
        <f>(D39*E39*F39)*VLOOKUP(B13,'Activity database'!A:AR,44,FALSE)</f>
        <v>0</v>
      </c>
      <c r="N39" s="277" t="str">
        <f t="shared" ref="N39:N44" si="0">B39</f>
        <v>Wash hand basin taps</v>
      </c>
      <c r="O39" s="278">
        <f>IF($D$39="",0,VLOOKUP($N$39,'Activity database'!$AT:$BA,2,FALSE))</f>
        <v>0</v>
      </c>
      <c r="P39" s="278">
        <f t="shared" ref="P39:Q43" si="1">E39</f>
        <v>4</v>
      </c>
      <c r="Q39" s="278">
        <f t="shared" si="1"/>
        <v>0.25</v>
      </c>
      <c r="R39" s="167">
        <f>IF($D$39="",0,(O39*$P$39*$Q$39)*(VLOOKUP($B$13,'Activity database'!$A:$AR,44,FALSE)))</f>
        <v>0</v>
      </c>
    </row>
    <row r="40" spans="1:18" s="117" customFormat="1" ht="15" customHeight="1" x14ac:dyDescent="0.3">
      <c r="A40" s="87"/>
      <c r="B40" s="103" t="str">
        <f>'Activity database'!N3</f>
        <v>Shower use</v>
      </c>
      <c r="C40" s="94" t="s">
        <v>735</v>
      </c>
      <c r="D40" s="221"/>
      <c r="E40" s="104">
        <f>IF(F19="no",VLOOKUP($B$13,'Activity database'!$A:$AN,14,FALSE),VLOOKUP(B19,'Activity database'!A:BO,14,FALSE))</f>
        <v>0.154</v>
      </c>
      <c r="F40" s="94">
        <f>VLOOKUP($B$13,'Activity database'!$A:$AN,30,FALSE)</f>
        <v>5.6</v>
      </c>
      <c r="G40" s="92">
        <f>D40*E40*F40</f>
        <v>0</v>
      </c>
      <c r="N40" s="96" t="str">
        <f t="shared" si="0"/>
        <v>Shower use</v>
      </c>
      <c r="O40" s="97">
        <f>IF($D$40="",0,'Activity database'!AU8)</f>
        <v>0</v>
      </c>
      <c r="P40" s="98">
        <f t="shared" si="1"/>
        <v>0.154</v>
      </c>
      <c r="Q40" s="98">
        <f t="shared" si="1"/>
        <v>5.6</v>
      </c>
      <c r="R40" s="94">
        <f>IF($D$40="",0,O40*$P$40*$Q$40)</f>
        <v>0</v>
      </c>
    </row>
    <row r="41" spans="1:18" s="117" customFormat="1" ht="15" hidden="1" customHeight="1" x14ac:dyDescent="0.3">
      <c r="A41" s="245" t="s">
        <v>736</v>
      </c>
      <c r="B41" s="96" t="str">
        <f>'Activity database'!O3</f>
        <v>Shower use (bath present)</v>
      </c>
      <c r="C41" s="97" t="s">
        <v>735</v>
      </c>
      <c r="D41" s="216"/>
      <c r="E41" s="99" t="str">
        <f>VLOOKUP($B$13,'Activity database'!$A:$AN,15,FALSE)</f>
        <v>N/A</v>
      </c>
      <c r="F41" s="99">
        <f>VLOOKUP($B$13,'Activity database'!$A:$AN,31,FALSE)</f>
        <v>4.37</v>
      </c>
      <c r="G41" s="100">
        <f>IF(E41="N/A",0,D41*E41*F41)</f>
        <v>0</v>
      </c>
      <c r="H41" s="246" t="s">
        <v>736</v>
      </c>
      <c r="N41" s="96" t="str">
        <f t="shared" si="0"/>
        <v>Shower use (bath present)</v>
      </c>
      <c r="O41" s="97">
        <f>IF($D$41="",0,'Activity database'!AU8)</f>
        <v>0</v>
      </c>
      <c r="P41" s="98" t="str">
        <f t="shared" si="1"/>
        <v>N/A</v>
      </c>
      <c r="Q41" s="98">
        <f t="shared" si="1"/>
        <v>4.37</v>
      </c>
      <c r="R41" s="94">
        <f>IF($D$41="",0,O41*$P$41*$Q$41)</f>
        <v>0</v>
      </c>
    </row>
    <row r="42" spans="1:18" s="117" customFormat="1" ht="15" hidden="1" customHeight="1" x14ac:dyDescent="0.3">
      <c r="A42" s="245" t="s">
        <v>736</v>
      </c>
      <c r="B42" s="96" t="str">
        <f>'Activity database'!P3</f>
        <v xml:space="preserve">Bath use (no shower present) </v>
      </c>
      <c r="C42" s="97" t="s">
        <v>737</v>
      </c>
      <c r="D42" s="216"/>
      <c r="E42" s="99" t="str">
        <f>VLOOKUP($B$13,'Activity database'!$A:$AN,16,FALSE)</f>
        <v>N/A</v>
      </c>
      <c r="F42" s="99">
        <f>VLOOKUP($B$13,'Activity database'!$A:$AN,32,FALSE)</f>
        <v>1</v>
      </c>
      <c r="G42" s="100">
        <f>IF(E42="n/a",0,((D42*E42*F42)*'Activity database'!AQ4))</f>
        <v>0</v>
      </c>
      <c r="H42" s="246" t="s">
        <v>736</v>
      </c>
      <c r="N42" s="96" t="str">
        <f t="shared" si="0"/>
        <v xml:space="preserve">Bath use (no shower present) </v>
      </c>
      <c r="O42" s="97">
        <f>IF($D$42="",0,'Activity database'!AU9)</f>
        <v>0</v>
      </c>
      <c r="P42" s="97" t="str">
        <f t="shared" si="1"/>
        <v>N/A</v>
      </c>
      <c r="Q42" s="97">
        <f t="shared" si="1"/>
        <v>1</v>
      </c>
      <c r="R42" s="94">
        <f>IF($D$42="",0,((O42*$P$42*$Q$42)*(VLOOKUP($B$13,'Activity database'!$A:$AR,43,FALSE))))</f>
        <v>0</v>
      </c>
    </row>
    <row r="43" spans="1:18" s="117" customFormat="1" ht="15" hidden="1" customHeight="1" x14ac:dyDescent="0.3">
      <c r="A43" s="245" t="s">
        <v>736</v>
      </c>
      <c r="B43" s="96" t="str">
        <f>'Activity database'!Q3</f>
        <v>Bath use (shower present)</v>
      </c>
      <c r="C43" s="97" t="s">
        <v>737</v>
      </c>
      <c r="D43" s="216"/>
      <c r="E43" s="99" t="str">
        <f>VLOOKUP($B$13,'Activity database'!$A:$AN,17,FALSE)</f>
        <v>N/A</v>
      </c>
      <c r="F43" s="99">
        <f>VLOOKUP($B$13,'Activity database'!$A:$AN,33,FALSE)</f>
        <v>1</v>
      </c>
      <c r="G43" s="100">
        <f>IF(E43="n/a",0,((D43*E43*F43)*'Activity database'!AQ4))</f>
        <v>0</v>
      </c>
      <c r="H43" s="246" t="s">
        <v>736</v>
      </c>
      <c r="N43" s="96" t="str">
        <f t="shared" si="0"/>
        <v>Bath use (shower present)</v>
      </c>
      <c r="O43" s="97">
        <f>IF($D$43="",0,'Activity database'!AU9)</f>
        <v>0</v>
      </c>
      <c r="P43" s="97" t="str">
        <f t="shared" si="1"/>
        <v>N/A</v>
      </c>
      <c r="Q43" s="97">
        <f t="shared" si="1"/>
        <v>1</v>
      </c>
      <c r="R43" s="94">
        <f>IF($D$43="",0,((O43*$P$43*$Q$43)*(VLOOKUP($B$13,'Activity database'!$A:$AR,43,FALSE))))</f>
        <v>0</v>
      </c>
    </row>
    <row r="44" spans="1:18" s="117" customFormat="1" ht="15" customHeight="1" x14ac:dyDescent="0.3">
      <c r="A44" s="87"/>
      <c r="B44" s="162" t="str">
        <f>'Activity database'!X3</f>
        <v>Fixed use - vessel filling</v>
      </c>
      <c r="C44" s="163" t="s">
        <v>738</v>
      </c>
      <c r="D44" s="163" t="s">
        <v>515</v>
      </c>
      <c r="E44" s="164" t="s">
        <v>515</v>
      </c>
      <c r="F44" s="163" t="s">
        <v>515</v>
      </c>
      <c r="G44" s="165">
        <f>IF(F19="yes",VLOOKUP(B13,'Activity database'!A:BA,24,FALSE)+VLOOKUP(B19,'Activity database'!A:BA,24,FALSE),VLOOKUP(B13,'Activity database'!A:BA,24,FALSE))</f>
        <v>1.58</v>
      </c>
      <c r="H44" s="300"/>
      <c r="I44" s="413"/>
      <c r="J44" s="413"/>
      <c r="K44" s="413"/>
      <c r="L44" s="413"/>
      <c r="M44" s="413"/>
      <c r="N44" s="417" t="str">
        <f t="shared" si="0"/>
        <v>Fixed use - vessel filling</v>
      </c>
      <c r="O44" s="97" t="s">
        <v>517</v>
      </c>
      <c r="P44" s="97" t="s">
        <v>517</v>
      </c>
      <c r="Q44" s="97" t="s">
        <v>517</v>
      </c>
      <c r="R44" s="94">
        <f>$G$44</f>
        <v>1.58</v>
      </c>
    </row>
    <row r="45" spans="1:18" s="117" customFormat="1" ht="25" customHeight="1" x14ac:dyDescent="0.3">
      <c r="A45" s="87"/>
      <c r="B45" s="430" t="s">
        <v>739</v>
      </c>
      <c r="C45" s="431"/>
      <c r="D45" s="431"/>
      <c r="E45" s="431"/>
      <c r="F45" s="431"/>
      <c r="G45" s="432"/>
      <c r="H45" s="300"/>
      <c r="I45" s="413"/>
      <c r="J45" s="413"/>
      <c r="K45" s="413"/>
      <c r="L45" s="413"/>
      <c r="M45" s="413"/>
      <c r="N45" s="274" t="str">
        <f>B45</f>
        <v>Tap components (cleaning) - staff kitchenette</v>
      </c>
      <c r="O45" s="274"/>
      <c r="P45" s="274"/>
      <c r="Q45" s="274"/>
      <c r="R45" s="275"/>
    </row>
    <row r="46" spans="1:18" s="117" customFormat="1" ht="15" customHeight="1" x14ac:dyDescent="0.3">
      <c r="A46" s="87"/>
      <c r="B46" s="166" t="str">
        <f>'Activity database'!R3</f>
        <v>Kitchen taps - kitchenette</v>
      </c>
      <c r="C46" s="167" t="s">
        <v>735</v>
      </c>
      <c r="D46" s="223"/>
      <c r="E46" s="167">
        <f>VLOOKUP($B$16,'Activity database'!$A:$AN,18,FALSE)</f>
        <v>1</v>
      </c>
      <c r="F46" s="167">
        <f>VLOOKUP($B$16,'Activity database'!$A:$AN,34,FALSE)</f>
        <v>0.67</v>
      </c>
      <c r="G46" s="168">
        <f>(D46*E46*F46)*(VLOOKUP(B13,'Activity database'!A:AR,44,FALSE))</f>
        <v>0</v>
      </c>
      <c r="N46" s="417" t="str">
        <f>B46</f>
        <v>Kitchen taps - kitchenette</v>
      </c>
      <c r="O46" s="97">
        <f>IF($D$46="",0,VLOOKUP($N$46,'Activity database'!$AT:$BA,2,FALSE))</f>
        <v>0</v>
      </c>
      <c r="P46" s="97">
        <f>E46</f>
        <v>1</v>
      </c>
      <c r="Q46" s="97">
        <f>F46</f>
        <v>0.67</v>
      </c>
      <c r="R46" s="94">
        <f>IF($D$46="",0,(O46*$P$46*$Q$46)*(VLOOKUP($B$13,'Activity database'!$A:$AR,44,FALSE)))</f>
        <v>0</v>
      </c>
    </row>
    <row r="47" spans="1:18" s="117" customFormat="1" ht="15" customHeight="1" x14ac:dyDescent="0.3">
      <c r="A47" s="87"/>
      <c r="B47" s="103" t="str">
        <f>'Activity database'!U3</f>
        <v>Dishwasher</v>
      </c>
      <c r="C47" s="94" t="s">
        <v>740</v>
      </c>
      <c r="D47" s="224"/>
      <c r="E47" s="97">
        <f>VLOOKUP($B$16,'Activity database'!$A:$AN,21,FALSE)</f>
        <v>0.04</v>
      </c>
      <c r="F47" s="97">
        <f>VLOOKUP($B$16,'Activity database'!$A:$AN,37,FALSE)</f>
        <v>1</v>
      </c>
      <c r="G47" s="94">
        <f>D47*E47*F47</f>
        <v>0</v>
      </c>
      <c r="N47" s="417" t="str">
        <f>B47</f>
        <v>Dishwasher</v>
      </c>
      <c r="O47" s="97">
        <f>IF($D$47="",0,'Activity database'!AU16)</f>
        <v>0</v>
      </c>
      <c r="P47" s="97">
        <f>E47</f>
        <v>0.04</v>
      </c>
      <c r="Q47" s="97">
        <f>F47</f>
        <v>1</v>
      </c>
      <c r="R47" s="94">
        <f>O47*$P$47*$Q$47</f>
        <v>0</v>
      </c>
    </row>
    <row r="48" spans="1:18" s="117" customFormat="1" ht="25" customHeight="1" x14ac:dyDescent="0.3">
      <c r="A48" s="87"/>
      <c r="B48" s="430" t="s">
        <v>741</v>
      </c>
      <c r="C48" s="431"/>
      <c r="D48" s="431"/>
      <c r="E48" s="431"/>
      <c r="F48" s="431"/>
      <c r="G48" s="432"/>
      <c r="N48" s="274" t="str">
        <f>B48</f>
        <v>Tap components (cleaning and food preparation) - staff canteen food preparation area</v>
      </c>
      <c r="O48" s="274"/>
      <c r="P48" s="274"/>
      <c r="Q48" s="274"/>
      <c r="R48" s="275"/>
    </row>
    <row r="49" spans="1:18" s="117" customFormat="1" ht="15" customHeight="1" x14ac:dyDescent="0.3">
      <c r="A49" s="87"/>
      <c r="B49" s="103" t="str">
        <f>'Activity database'!S3</f>
        <v>Kitchen taps - pre-rinse nozzle</v>
      </c>
      <c r="C49" s="102" t="s">
        <v>735</v>
      </c>
      <c r="D49" s="224"/>
      <c r="E49" s="97" t="s">
        <v>515</v>
      </c>
      <c r="F49" s="97">
        <f>VLOOKUP($B$18,'Activity database'!A:BO,35,FALSE)</f>
        <v>60</v>
      </c>
      <c r="G49" s="94" t="str">
        <f>IF(ISERROR((D49*F49)/O138),Q137,((D49*F49)/O138))</f>
        <v>Requires building information</v>
      </c>
      <c r="N49" s="417" t="str">
        <f t="shared" ref="N49:N54" si="2">B49</f>
        <v>Kitchen taps - pre-rinse nozzle</v>
      </c>
      <c r="O49" s="97">
        <f>IF($D$49="",0,VLOOKUP($N$49,'Activity database'!$AT:$BA,2,FALSE))</f>
        <v>0</v>
      </c>
      <c r="P49" s="97" t="str">
        <f t="shared" ref="P49:Q52" si="3">E49</f>
        <v>-</v>
      </c>
      <c r="Q49" s="97">
        <f t="shared" si="3"/>
        <v>60</v>
      </c>
      <c r="R49" s="94">
        <f>IF($D$49="",0,(O49*$Q$49)/$O$138)</f>
        <v>0</v>
      </c>
    </row>
    <row r="50" spans="1:18" s="117" customFormat="1" ht="15" customHeight="1" x14ac:dyDescent="0.3">
      <c r="A50" s="87"/>
      <c r="B50" s="103" t="str">
        <f>'Activity database'!U3</f>
        <v>Dishwasher</v>
      </c>
      <c r="C50" s="102" t="s">
        <v>742</v>
      </c>
      <c r="D50" s="224"/>
      <c r="E50" s="97" t="s">
        <v>515</v>
      </c>
      <c r="F50" s="98">
        <f>VLOOKUP($B$18,'Activity database'!A:BO,37,FALSE)</f>
        <v>0.217</v>
      </c>
      <c r="G50" s="94" t="str">
        <f>IF(ISERROR((F50*G18*D50)/O138),Q137,((F50*G18*D50)/O138))</f>
        <v>Requires building information</v>
      </c>
      <c r="N50" s="417" t="str">
        <f t="shared" si="2"/>
        <v>Dishwasher</v>
      </c>
      <c r="O50" s="97">
        <f>IF($D$50="",0,'Activity database'!AU19)</f>
        <v>0</v>
      </c>
      <c r="P50" s="97" t="str">
        <f t="shared" si="3"/>
        <v>-</v>
      </c>
      <c r="Q50" s="97">
        <f t="shared" si="3"/>
        <v>0.217</v>
      </c>
      <c r="R50" s="94">
        <f>IF($D$50="",0,($Q$50*$G$18*O50)/$O$138)</f>
        <v>0</v>
      </c>
    </row>
    <row r="51" spans="1:18" s="117" customFormat="1" ht="15" customHeight="1" x14ac:dyDescent="0.3">
      <c r="A51" s="87"/>
      <c r="B51" s="103" t="str">
        <f>'Activity database'!W3</f>
        <v>Waste disposal unit</v>
      </c>
      <c r="C51" s="102" t="s">
        <v>735</v>
      </c>
      <c r="D51" s="224"/>
      <c r="E51" s="97" t="s">
        <v>515</v>
      </c>
      <c r="F51" s="97">
        <f>VLOOKUP($B$18,'Activity database'!A:BO,39,FALSE)</f>
        <v>30</v>
      </c>
      <c r="G51" s="94" t="str">
        <f>IF(ISERROR((D51*F51)/O138),Q137,((D51*F51)/O138))</f>
        <v>Requires building information</v>
      </c>
      <c r="N51" s="417" t="str">
        <f t="shared" si="2"/>
        <v>Waste disposal unit</v>
      </c>
      <c r="O51" s="97">
        <f>IF($D$51="",0,VLOOKUP($N$51,'Activity database'!$AT:$BA,2,FALSE))</f>
        <v>0</v>
      </c>
      <c r="P51" s="97" t="str">
        <f t="shared" si="3"/>
        <v>-</v>
      </c>
      <c r="Q51" s="97">
        <f t="shared" si="3"/>
        <v>30</v>
      </c>
      <c r="R51" s="94">
        <f>IF($D$51="",0,(O51*$Q$51)/$O$138)</f>
        <v>0</v>
      </c>
    </row>
    <row r="52" spans="1:18" s="117" customFormat="1" ht="15" hidden="1" customHeight="1" x14ac:dyDescent="0.3">
      <c r="A52" s="246" t="s">
        <v>743</v>
      </c>
      <c r="B52" s="103" t="str">
        <f>'Activity database'!V3</f>
        <v>Washing machine</v>
      </c>
      <c r="C52" s="102" t="s">
        <v>744</v>
      </c>
      <c r="D52" s="217"/>
      <c r="E52" s="97" t="str">
        <f>VLOOKUP($B$13,'Activity database'!$A:$AN,22,FALSE)</f>
        <v>N/A</v>
      </c>
      <c r="F52" s="97" t="str">
        <f>VLOOKUP($B$13,'Activity database'!$A:$AN,38,FALSE)</f>
        <v>-</v>
      </c>
      <c r="G52" s="94">
        <f>IF(ISERROR(IF(E52="N/A",0,IF(F18="Yes",(D52*E52*F52),0))),Q137,IF(E52="N/A",0,IF(F18="Yes",(D52*E52*F52),0)))</f>
        <v>0</v>
      </c>
      <c r="H52" s="246" t="s">
        <v>743</v>
      </c>
      <c r="N52" s="417" t="str">
        <f t="shared" si="2"/>
        <v>Washing machine</v>
      </c>
      <c r="O52" s="97">
        <f>IF($D$52="",0,'Activity database'!AU20)</f>
        <v>0</v>
      </c>
      <c r="P52" s="97" t="str">
        <f t="shared" si="3"/>
        <v>N/A</v>
      </c>
      <c r="Q52" s="97" t="str">
        <f t="shared" si="3"/>
        <v>-</v>
      </c>
      <c r="R52" s="94">
        <f>IF($D$52="",0,IF($F$18="Yes",(O52*$P$52*$Q$52)))</f>
        <v>0</v>
      </c>
    </row>
    <row r="53" spans="1:18" s="117" customFormat="1" ht="15" customHeight="1" x14ac:dyDescent="0.3">
      <c r="A53" s="87"/>
      <c r="B53" s="103" t="str">
        <f>'Activity database'!Y3</f>
        <v>Fixed use - food preparation</v>
      </c>
      <c r="C53" s="102" t="s">
        <v>738</v>
      </c>
      <c r="D53" s="97" t="s">
        <v>515</v>
      </c>
      <c r="E53" s="97" t="s">
        <v>515</v>
      </c>
      <c r="F53" s="97" t="s">
        <v>515</v>
      </c>
      <c r="G53" s="94">
        <f>IF(ISERROR(IF(F18="Yes",(VLOOKUP(B18,'Activity database'!A:BO,25,FALSE)/O138),0)),Q137,IF(F18="Yes",(VLOOKUP(B18,'Activity database'!A:BO,25,FALSE)/O138),0))</f>
        <v>0</v>
      </c>
      <c r="H53" s="300"/>
      <c r="I53" s="413"/>
      <c r="J53" s="413"/>
      <c r="K53" s="413"/>
      <c r="L53" s="413"/>
      <c r="M53" s="413"/>
      <c r="N53" s="417" t="str">
        <f t="shared" si="2"/>
        <v>Fixed use - food preparation</v>
      </c>
      <c r="O53" s="97" t="s">
        <v>517</v>
      </c>
      <c r="P53" s="97" t="str">
        <f>E53</f>
        <v>-</v>
      </c>
      <c r="Q53" s="97" t="s">
        <v>517</v>
      </c>
      <c r="R53" s="94">
        <f>$G$53</f>
        <v>0</v>
      </c>
    </row>
    <row r="54" spans="1:18" s="117" customFormat="1" ht="15" customHeight="1" x14ac:dyDescent="0.3">
      <c r="A54" s="87"/>
      <c r="B54" s="103" t="str">
        <f>'Activity database'!Z3</f>
        <v>Fixed use - kitchen cleaning</v>
      </c>
      <c r="C54" s="102" t="s">
        <v>738</v>
      </c>
      <c r="D54" s="97" t="s">
        <v>515</v>
      </c>
      <c r="E54" s="97" t="s">
        <v>515</v>
      </c>
      <c r="F54" s="97" t="s">
        <v>515</v>
      </c>
      <c r="G54" s="94">
        <f>IF(ISERROR(IF(F18="Yes",(VLOOKUP(B18,'Activity database'!A:BO,26,FALSE)/O138),0)),Q137,(IF(F18="Yes",(VLOOKUP(B18,'Activity database'!A:BO,26,FALSE)/O138),0)))</f>
        <v>0</v>
      </c>
      <c r="H54" s="300"/>
      <c r="I54" s="413"/>
      <c r="J54" s="413"/>
      <c r="K54" s="413"/>
      <c r="L54" s="413"/>
      <c r="M54" s="413"/>
      <c r="N54" s="417" t="str">
        <f t="shared" si="2"/>
        <v>Fixed use - kitchen cleaning</v>
      </c>
      <c r="O54" s="97" t="s">
        <v>517</v>
      </c>
      <c r="P54" s="97" t="str">
        <f>E54</f>
        <v>-</v>
      </c>
      <c r="Q54" s="97" t="s">
        <v>517</v>
      </c>
      <c r="R54" s="94">
        <f>$G$54</f>
        <v>0</v>
      </c>
    </row>
    <row r="55" spans="1:18" s="117" customFormat="1" ht="15" customHeight="1" x14ac:dyDescent="0.3">
      <c r="A55" s="87"/>
      <c r="B55" s="87"/>
      <c r="C55" s="87"/>
      <c r="D55" s="87"/>
      <c r="E55" s="87"/>
      <c r="F55" s="87"/>
      <c r="G55" s="87"/>
    </row>
    <row r="56" spans="1:18" s="117" customFormat="1" ht="25" customHeight="1" x14ac:dyDescent="0.3">
      <c r="A56" s="87"/>
      <c r="B56" s="87"/>
      <c r="C56" s="87"/>
      <c r="D56" s="87"/>
      <c r="E56" s="87"/>
      <c r="F56" s="87"/>
      <c r="G56" s="433" t="s">
        <v>745</v>
      </c>
      <c r="H56" s="544" t="s">
        <v>746</v>
      </c>
      <c r="I56" s="544"/>
      <c r="J56" s="544"/>
      <c r="K56" s="544"/>
      <c r="L56" s="544"/>
      <c r="M56" s="544"/>
      <c r="Q56" s="87"/>
      <c r="R56" s="111" t="s">
        <v>747</v>
      </c>
    </row>
    <row r="57" spans="1:18" s="117" customFormat="1" ht="15" customHeight="1" x14ac:dyDescent="0.3">
      <c r="A57" s="87"/>
      <c r="B57" s="87"/>
      <c r="C57" s="87"/>
      <c r="D57" s="87"/>
      <c r="E57" s="87"/>
      <c r="F57" s="113" t="s">
        <v>748</v>
      </c>
      <c r="G57" s="92" t="str">
        <f>IF(OR(G24=Q137,AND(F16=Q131,F17=Q131,F18=Q131,F19=Q131)),Q137,(SUM(G24:G25)+G28+G31+G34+SUM(G39:G44)+SUM(G46:G47)+SUM(G49:G54)))</f>
        <v>Requires building information</v>
      </c>
      <c r="H57" s="544"/>
      <c r="I57" s="544"/>
      <c r="J57" s="544"/>
      <c r="K57" s="544"/>
      <c r="L57" s="544"/>
      <c r="M57" s="544"/>
      <c r="Q57" s="253" t="s">
        <v>749</v>
      </c>
      <c r="R57" s="92" t="e">
        <f>SUM(R24+R25)+R28+R31+R34+SUM(R39:R44)+SUM(R46:R47)+SUM(R49:R54)-R60</f>
        <v>#N/A</v>
      </c>
    </row>
    <row r="58" spans="1:18" s="117" customFormat="1" ht="25" customHeight="1" x14ac:dyDescent="0.3">
      <c r="A58" s="87"/>
      <c r="B58" s="87"/>
      <c r="C58" s="87"/>
      <c r="D58" s="110"/>
      <c r="E58" s="110"/>
      <c r="F58" s="110"/>
      <c r="G58" s="88"/>
      <c r="H58" s="544"/>
      <c r="I58" s="544"/>
      <c r="J58" s="544"/>
      <c r="K58" s="544"/>
      <c r="L58" s="544"/>
      <c r="M58" s="544"/>
      <c r="O58" s="122"/>
      <c r="P58" s="122"/>
      <c r="Q58" s="122"/>
      <c r="R58" s="122"/>
    </row>
    <row r="59" spans="1:18" s="117" customFormat="1" ht="32.15" customHeight="1" x14ac:dyDescent="0.3">
      <c r="A59" s="87"/>
      <c r="B59" s="422" t="s">
        <v>750</v>
      </c>
      <c r="C59" s="422"/>
      <c r="D59" s="422"/>
      <c r="E59" s="422"/>
      <c r="F59" s="422"/>
      <c r="G59" s="422"/>
      <c r="H59" s="544"/>
      <c r="I59" s="544"/>
      <c r="J59" s="544"/>
      <c r="K59" s="544"/>
      <c r="L59" s="544"/>
      <c r="M59" s="544"/>
      <c r="Q59" s="87"/>
      <c r="R59" s="111" t="s">
        <v>751</v>
      </c>
    </row>
    <row r="60" spans="1:18" s="117" customFormat="1" ht="25" customHeight="1" x14ac:dyDescent="0.3">
      <c r="A60" s="87"/>
      <c r="B60" s="87"/>
      <c r="C60" s="87"/>
      <c r="D60" s="87"/>
      <c r="E60" s="87"/>
      <c r="F60" s="87"/>
      <c r="G60" s="88"/>
      <c r="Q60" s="253" t="s">
        <v>749</v>
      </c>
      <c r="R60" s="92">
        <f>R54+R53+R44</f>
        <v>1.58</v>
      </c>
    </row>
    <row r="61" spans="1:18" s="117" customFormat="1" ht="15" customHeight="1" x14ac:dyDescent="0.3">
      <c r="A61" s="293" t="str">
        <f>IF(G61=$Q$129,"&gt;","")</f>
        <v/>
      </c>
      <c r="B61" s="89"/>
      <c r="C61" s="105"/>
      <c r="D61" s="106"/>
      <c r="E61" s="106"/>
      <c r="F61" s="107" t="s">
        <v>752</v>
      </c>
      <c r="G61" s="225" t="s">
        <v>811</v>
      </c>
    </row>
    <row r="62" spans="1:18" s="117" customFormat="1" ht="12" customHeight="1" x14ac:dyDescent="0.3">
      <c r="A62" s="87"/>
      <c r="B62" s="87"/>
      <c r="C62" s="114"/>
      <c r="D62" s="87"/>
      <c r="E62" s="87"/>
      <c r="F62" s="87"/>
      <c r="G62" s="88"/>
    </row>
    <row r="63" spans="1:18" s="117" customFormat="1" ht="25" customHeight="1" x14ac:dyDescent="0.3">
      <c r="A63" s="87"/>
      <c r="B63" s="87"/>
      <c r="C63" s="435" t="s">
        <v>754</v>
      </c>
      <c r="D63" s="429"/>
      <c r="E63" s="429" t="s">
        <v>755</v>
      </c>
      <c r="F63" s="433" t="s">
        <v>756</v>
      </c>
      <c r="G63" s="433" t="s">
        <v>757</v>
      </c>
    </row>
    <row r="64" spans="1:18" s="117" customFormat="1" ht="15" customHeight="1" x14ac:dyDescent="0.3">
      <c r="A64" s="87"/>
      <c r="B64" s="293" t="str">
        <f>IF(D39="","",IF(AND($G$61=$Q$130,E64=""),"&gt;",IF(AND($G$61=$Q$130,E64=$Q$130,F64=""),"&gt;","")))</f>
        <v/>
      </c>
      <c r="C64" s="96" t="str">
        <f>B39</f>
        <v>Wash hand basin taps</v>
      </c>
      <c r="D64" s="134"/>
      <c r="E64" s="218"/>
      <c r="F64" s="226"/>
      <c r="G64" s="94">
        <f>IF(OR(E64=$Q$131,E64=""),0,G39*F64)</f>
        <v>0</v>
      </c>
      <c r="H64" s="135"/>
    </row>
    <row r="65" spans="1:28" s="117" customFormat="1" ht="15" customHeight="1" x14ac:dyDescent="0.3">
      <c r="A65" s="87"/>
      <c r="B65" s="293" t="str">
        <f>IF(AND($G$61=$Q$130,E65=""),"&gt;",IF(AND($G$61=$Q$130,E65=$Q$130,F65=""),"&gt;",""))</f>
        <v>&gt;</v>
      </c>
      <c r="C65" s="96" t="s">
        <v>537</v>
      </c>
      <c r="D65" s="134"/>
      <c r="E65" s="218"/>
      <c r="F65" s="226"/>
      <c r="G65" s="94">
        <f>IF(OR(E65=$Q$131,E65=""),0,(SUM(G40:G41)*F65))</f>
        <v>0</v>
      </c>
      <c r="H65" s="135"/>
      <c r="AB65" s="122"/>
    </row>
    <row r="66" spans="1:28" s="117" customFormat="1" ht="15" customHeight="1" x14ac:dyDescent="0.3">
      <c r="A66" s="87"/>
      <c r="B66" s="293" t="str">
        <f>IF(AND($G$61=$Q$130,E66=""),"&gt;",IF(AND($G$61=$Q$130,E66=$Q$130,F66=""),"&gt;",""))</f>
        <v>&gt;</v>
      </c>
      <c r="C66" s="96" t="str">
        <f>B46</f>
        <v>Kitchen taps - kitchenette</v>
      </c>
      <c r="D66" s="134"/>
      <c r="E66" s="224"/>
      <c r="F66" s="226"/>
      <c r="G66" s="94">
        <f>IF(OR(E66=$Q$131,E66=""),0,G46*F66)</f>
        <v>0</v>
      </c>
      <c r="H66" s="135"/>
      <c r="AB66" s="122"/>
    </row>
    <row r="67" spans="1:28" s="117" customFormat="1" ht="15" customHeight="1" x14ac:dyDescent="0.3">
      <c r="A67" s="87"/>
      <c r="B67" s="293" t="str">
        <f>IF(AND($G$61=$Q$130,E67=""),"&gt;",IF(AND($G$61=$Q$130,E67=$Q$130,F67=""),"&gt;",""))</f>
        <v>&gt;</v>
      </c>
      <c r="C67" s="96" t="s">
        <v>758</v>
      </c>
      <c r="D67" s="134"/>
      <c r="E67" s="228"/>
      <c r="F67" s="226"/>
      <c r="G67" s="94">
        <f>IF(OR(E67=$Q$131,E67=""),0,F67*G47)</f>
        <v>0</v>
      </c>
      <c r="H67" s="135"/>
      <c r="AB67" s="122"/>
    </row>
    <row r="68" spans="1:28" s="117" customFormat="1" ht="15" customHeight="1" x14ac:dyDescent="0.3">
      <c r="A68" s="87"/>
      <c r="B68" s="293" t="str">
        <f>IF(AND($G$61=$Q$130,E68=""),"&gt;",IF(AND($G$61=$Q$130,E68=$Q$130,F68=""),"&gt;",""))</f>
        <v>&gt;</v>
      </c>
      <c r="C68" s="96" t="str">
        <f>B49</f>
        <v>Kitchen taps - pre-rinse nozzle</v>
      </c>
      <c r="D68" s="134"/>
      <c r="E68" s="224"/>
      <c r="F68" s="227"/>
      <c r="G68" s="94">
        <f>IF(OR(E68=$Q$131,E68=""),0,G49*F68)</f>
        <v>0</v>
      </c>
      <c r="H68" s="135"/>
      <c r="AB68" s="122"/>
    </row>
    <row r="69" spans="1:28" s="117" customFormat="1" ht="15" customHeight="1" x14ac:dyDescent="0.3">
      <c r="A69" s="87"/>
      <c r="B69" s="293" t="str">
        <f>IF(AND($G$61=$Q$130,E69=""),"&gt;",IF(AND($G$61=$Q$130,E69=$Q$130,F69=""),"&gt;",""))</f>
        <v>&gt;</v>
      </c>
      <c r="C69" s="96" t="s">
        <v>759</v>
      </c>
      <c r="D69" s="134"/>
      <c r="E69" s="224"/>
      <c r="F69" s="227"/>
      <c r="G69" s="94">
        <f>IF(OR(E69=$Q$131,E69=""),0,F69*G50)</f>
        <v>0</v>
      </c>
      <c r="H69" s="135"/>
      <c r="AB69" s="122"/>
    </row>
    <row r="70" spans="1:28" s="117" customFormat="1" ht="15" hidden="1" customHeight="1" x14ac:dyDescent="0.3">
      <c r="A70" s="87"/>
      <c r="B70" s="293" t="str">
        <f>IF(AND($G$61=Q136,E70=""),"&gt;","")</f>
        <v/>
      </c>
      <c r="C70" s="236" t="s">
        <v>760</v>
      </c>
      <c r="D70" s="237"/>
      <c r="E70" s="241"/>
      <c r="F70" s="242"/>
      <c r="G70" s="238">
        <f>IF(OR(E70=Q131,E70="",E42="N/A",E43="N/A"),0,(SUM(G42:G43)*F70))</f>
        <v>0</v>
      </c>
      <c r="H70" s="246" t="s">
        <v>736</v>
      </c>
      <c r="I70" s="244"/>
      <c r="AB70" s="122"/>
    </row>
    <row r="71" spans="1:28" s="117" customFormat="1" ht="15" hidden="1" customHeight="1" x14ac:dyDescent="0.3">
      <c r="A71" s="87"/>
      <c r="B71" s="293" t="str">
        <f>IF(AND($G$61=Q137,E71=""),"&gt;","")</f>
        <v/>
      </c>
      <c r="C71" s="239" t="str">
        <f>B52</f>
        <v>Washing machine</v>
      </c>
      <c r="D71" s="240"/>
      <c r="E71" s="217"/>
      <c r="F71" s="243"/>
      <c r="G71" s="94">
        <f>IF(OR(E71=Q132,E71=""),0,F71*G52)</f>
        <v>0</v>
      </c>
      <c r="H71" s="246" t="s">
        <v>736</v>
      </c>
      <c r="I71" s="244"/>
      <c r="AB71" s="122"/>
    </row>
    <row r="72" spans="1:28" s="117" customFormat="1" ht="25" customHeight="1" x14ac:dyDescent="0.3">
      <c r="A72" s="87"/>
      <c r="B72" s="87"/>
      <c r="C72" s="433" t="s">
        <v>761</v>
      </c>
      <c r="D72" s="433" t="s">
        <v>762</v>
      </c>
      <c r="E72" s="433" t="s">
        <v>763</v>
      </c>
      <c r="F72" s="433" t="s">
        <v>764</v>
      </c>
      <c r="G72" s="433" t="s">
        <v>757</v>
      </c>
      <c r="H72" s="544" t="str">
        <f>IF(G61=Q130,N141,"")</f>
        <v>Note: If greywater is collected from a component/source not accounted for above i.e. their consumption is not estimated, then the amount of greywater collected can be added here so that it may be accounted for. This can include wastewater from active hygiene flushing, i.e. a regular hygiene flushing programme to minimize poor water quality in a potable cold or hot water system.</v>
      </c>
      <c r="I72" s="544"/>
      <c r="J72" s="544"/>
      <c r="K72" s="544"/>
      <c r="L72" s="544"/>
      <c r="M72" s="544"/>
      <c r="AB72" s="133"/>
    </row>
    <row r="73" spans="1:28" s="117" customFormat="1" ht="15" customHeight="1" x14ac:dyDescent="0.3">
      <c r="A73" s="87"/>
      <c r="B73" s="87"/>
      <c r="C73" s="103" t="s">
        <v>765</v>
      </c>
      <c r="D73" s="218"/>
      <c r="E73" s="218"/>
      <c r="F73" s="94" t="str">
        <f>IF(D73="","",D73/E73)</f>
        <v/>
      </c>
      <c r="G73" s="94">
        <f>IF(D73="",0,F73/$O$138)</f>
        <v>0</v>
      </c>
      <c r="H73" s="544"/>
      <c r="I73" s="544"/>
      <c r="J73" s="544"/>
      <c r="K73" s="544"/>
      <c r="L73" s="544"/>
      <c r="M73" s="544"/>
      <c r="AB73" s="122"/>
    </row>
    <row r="74" spans="1:28" s="117" customFormat="1" ht="15" customHeight="1" x14ac:dyDescent="0.3">
      <c r="A74" s="87"/>
      <c r="B74" s="87"/>
      <c r="C74" s="87"/>
      <c r="D74" s="87"/>
      <c r="E74" s="87"/>
      <c r="F74" s="87"/>
      <c r="G74" s="87"/>
      <c r="H74" s="544"/>
      <c r="I74" s="544"/>
      <c r="J74" s="544"/>
      <c r="K74" s="544"/>
      <c r="L74" s="544"/>
      <c r="M74" s="544"/>
      <c r="AB74" s="122"/>
    </row>
    <row r="75" spans="1:28" s="117" customFormat="1" ht="25" customHeight="1" x14ac:dyDescent="0.3">
      <c r="A75" s="87"/>
      <c r="B75" s="87"/>
      <c r="C75" s="87"/>
      <c r="D75" s="87"/>
      <c r="E75" s="87"/>
      <c r="F75" s="87"/>
      <c r="G75" s="433" t="s">
        <v>766</v>
      </c>
      <c r="AB75" s="122"/>
    </row>
    <row r="76" spans="1:28" s="117" customFormat="1" ht="15" customHeight="1" x14ac:dyDescent="0.3">
      <c r="A76" s="87"/>
      <c r="B76" s="87"/>
      <c r="C76" s="87"/>
      <c r="D76" s="87"/>
      <c r="E76" s="87"/>
      <c r="F76" s="113" t="s">
        <v>748</v>
      </c>
      <c r="G76" s="94">
        <f>IF(OR(G61=Q132,G61=Q131),0,SUM(G64:G71)+G73)</f>
        <v>0</v>
      </c>
    </row>
    <row r="77" spans="1:28" s="117" customFormat="1" ht="25" customHeight="1" x14ac:dyDescent="0.3">
      <c r="A77" s="87"/>
      <c r="B77" s="87"/>
      <c r="C77" s="87"/>
      <c r="D77" s="87"/>
      <c r="E77" s="87"/>
      <c r="F77" s="87"/>
      <c r="G77" s="88"/>
    </row>
    <row r="78" spans="1:28" s="117" customFormat="1" ht="32.15" customHeight="1" x14ac:dyDescent="0.3">
      <c r="A78" s="87"/>
      <c r="B78" s="422" t="s">
        <v>767</v>
      </c>
      <c r="C78" s="422"/>
      <c r="D78" s="422"/>
      <c r="E78" s="422"/>
      <c r="F78" s="422"/>
      <c r="G78" s="422"/>
    </row>
    <row r="79" spans="1:28" s="117" customFormat="1" ht="25" customHeight="1" x14ac:dyDescent="0.3">
      <c r="A79" s="87"/>
      <c r="B79" s="109"/>
      <c r="C79" s="109"/>
      <c r="D79" s="87"/>
      <c r="E79" s="87"/>
      <c r="F79" s="87"/>
      <c r="G79" s="88"/>
    </row>
    <row r="80" spans="1:28" s="117" customFormat="1" ht="15" customHeight="1" x14ac:dyDescent="0.3">
      <c r="A80" s="293" t="str">
        <f>IF(G80=$Q$129,"&gt;","")</f>
        <v/>
      </c>
      <c r="B80" s="89"/>
      <c r="C80" s="105"/>
      <c r="D80" s="106"/>
      <c r="E80" s="106"/>
      <c r="F80" s="107" t="s">
        <v>768</v>
      </c>
      <c r="G80" s="229" t="s">
        <v>811</v>
      </c>
    </row>
    <row r="81" spans="1:28" s="117" customFormat="1" x14ac:dyDescent="0.3">
      <c r="A81" s="87"/>
      <c r="B81" s="87"/>
      <c r="C81" s="87"/>
      <c r="D81" s="87"/>
      <c r="E81" s="87"/>
      <c r="F81" s="136"/>
      <c r="G81" s="88"/>
    </row>
    <row r="82" spans="1:28" s="117" customFormat="1" ht="15" customHeight="1" x14ac:dyDescent="0.3">
      <c r="A82" s="293" t="str">
        <f>IF(AND($G$80=$Q$130,G82=$Q$129),"&gt;","")</f>
        <v>&gt;</v>
      </c>
      <c r="B82" s="89"/>
      <c r="C82" s="105"/>
      <c r="D82" s="106"/>
      <c r="E82" s="106"/>
      <c r="F82" s="107" t="s">
        <v>769</v>
      </c>
      <c r="G82" s="229" t="s">
        <v>699</v>
      </c>
    </row>
    <row r="83" spans="1:28" s="117" customFormat="1" ht="25" customHeight="1" x14ac:dyDescent="0.3">
      <c r="A83" s="87"/>
      <c r="B83" s="115" t="s">
        <v>770</v>
      </c>
      <c r="C83" s="87"/>
      <c r="D83" s="87"/>
      <c r="E83" s="87"/>
      <c r="F83" s="87"/>
      <c r="G83" s="137"/>
    </row>
    <row r="84" spans="1:28" s="117" customFormat="1" ht="26" x14ac:dyDescent="0.3">
      <c r="A84" s="87"/>
      <c r="B84" s="433" t="s">
        <v>771</v>
      </c>
      <c r="C84" s="433" t="s">
        <v>772</v>
      </c>
      <c r="D84" s="433" t="s">
        <v>773</v>
      </c>
      <c r="E84" s="433" t="s">
        <v>774</v>
      </c>
      <c r="F84" s="433" t="s">
        <v>775</v>
      </c>
      <c r="G84" s="433" t="s">
        <v>776</v>
      </c>
      <c r="I84" s="133"/>
      <c r="J84" s="133"/>
      <c r="K84" s="133"/>
      <c r="L84" s="133"/>
      <c r="M84" s="133"/>
      <c r="N84" s="133"/>
      <c r="O84" s="133"/>
      <c r="P84" s="133"/>
      <c r="Q84" s="133"/>
      <c r="R84" s="133"/>
      <c r="S84" s="133"/>
      <c r="T84" s="133"/>
      <c r="U84" s="133"/>
      <c r="V84" s="133"/>
      <c r="W84" s="133"/>
      <c r="X84" s="133"/>
      <c r="Y84" s="133"/>
      <c r="Z84" s="133"/>
      <c r="AA84" s="133"/>
      <c r="AB84" s="133"/>
    </row>
    <row r="85" spans="1:28" s="117" customFormat="1" ht="15" customHeight="1" x14ac:dyDescent="0.3">
      <c r="A85" s="293" t="str">
        <f>IF(AND($G$80=$Q$130,$G$82=$S$130,OR(B85="",C85="",D85="",E85="")),"&gt;","")</f>
        <v/>
      </c>
      <c r="B85" s="218"/>
      <c r="C85" s="218"/>
      <c r="D85" s="234"/>
      <c r="E85" s="234"/>
      <c r="F85" s="108">
        <f>B85*E85*D85*C85</f>
        <v>0</v>
      </c>
      <c r="G85" s="92" t="str">
        <f>IF(ISERROR(IF(OR(G80=Q132,G80=Q131,G82=S131),0,(F85/365)/O138)),Q137,IF(OR(G80=Q132,G80=Q131,G82=S131),0,(F85/365)/O138))</f>
        <v>Requires building information</v>
      </c>
      <c r="I85" s="122"/>
      <c r="J85" s="122"/>
      <c r="K85" s="122"/>
      <c r="L85" s="122"/>
      <c r="M85" s="122"/>
      <c r="N85" s="122"/>
      <c r="O85" s="122"/>
      <c r="P85" s="122"/>
      <c r="Q85" s="122"/>
      <c r="R85" s="122"/>
      <c r="S85" s="122"/>
      <c r="T85" s="122"/>
      <c r="U85" s="122"/>
      <c r="V85" s="122"/>
      <c r="W85" s="122"/>
      <c r="X85" s="122"/>
      <c r="Y85" s="122"/>
      <c r="Z85" s="122"/>
      <c r="AA85" s="122"/>
      <c r="AB85" s="122"/>
    </row>
    <row r="86" spans="1:28" s="117" customFormat="1" ht="25" customHeight="1" x14ac:dyDescent="0.3">
      <c r="A86" s="87"/>
      <c r="B86" s="87"/>
      <c r="C86" s="87"/>
      <c r="D86" s="87"/>
      <c r="E86" s="87"/>
      <c r="F86" s="115" t="s">
        <v>777</v>
      </c>
      <c r="G86" s="88"/>
      <c r="I86" s="133"/>
      <c r="J86" s="133"/>
      <c r="K86" s="133"/>
      <c r="L86" s="133"/>
      <c r="M86" s="133"/>
      <c r="N86" s="133"/>
      <c r="O86" s="133"/>
      <c r="P86" s="133"/>
      <c r="Q86" s="133"/>
      <c r="R86" s="133"/>
      <c r="S86" s="133"/>
      <c r="T86" s="133"/>
      <c r="U86" s="133"/>
      <c r="V86" s="133"/>
      <c r="W86" s="133"/>
      <c r="X86" s="133"/>
      <c r="Y86" s="133"/>
      <c r="Z86" s="133"/>
      <c r="AA86" s="133"/>
      <c r="AB86" s="133"/>
    </row>
    <row r="87" spans="1:28" s="117" customFormat="1" ht="26" x14ac:dyDescent="0.3">
      <c r="A87" s="87"/>
      <c r="B87" s="87"/>
      <c r="C87" s="87"/>
      <c r="D87" s="87"/>
      <c r="E87" s="87"/>
      <c r="F87" s="433" t="s">
        <v>778</v>
      </c>
      <c r="G87" s="433" t="s">
        <v>779</v>
      </c>
      <c r="I87" s="122"/>
      <c r="J87" s="122"/>
      <c r="K87" s="122"/>
      <c r="L87" s="122"/>
      <c r="M87" s="122"/>
      <c r="N87" s="122"/>
      <c r="O87" s="122"/>
      <c r="P87" s="122"/>
      <c r="Q87" s="122"/>
      <c r="R87" s="122"/>
      <c r="S87" s="122"/>
      <c r="T87" s="122"/>
      <c r="U87" s="122"/>
      <c r="V87" s="122"/>
      <c r="W87" s="122"/>
      <c r="X87" s="122"/>
      <c r="Y87" s="122"/>
      <c r="Z87" s="122"/>
      <c r="AA87" s="122"/>
      <c r="AB87" s="122"/>
    </row>
    <row r="88" spans="1:28" s="117" customFormat="1" ht="15" customHeight="1" x14ac:dyDescent="0.3">
      <c r="A88" s="87"/>
      <c r="B88" s="87"/>
      <c r="C88" s="87"/>
      <c r="D88" s="87"/>
      <c r="E88" s="293" t="str">
        <f>IF(AND($G$80=$Q$130,$G$82=$S$131,F88=""),"&gt;","")</f>
        <v/>
      </c>
      <c r="F88" s="218"/>
      <c r="G88" s="92" t="str">
        <f>IF(ISERROR(IF(OR(G82=S130,G80=Q132,G80=Q131),0,(F88/O138))),Q137,IF(OR(G82=S130,G80=Q132,G80=Q131),0,(F88/O138)))</f>
        <v>Requires building information</v>
      </c>
      <c r="H88" s="122"/>
      <c r="I88" s="122"/>
      <c r="J88" s="122"/>
      <c r="K88" s="122"/>
      <c r="L88" s="122"/>
      <c r="M88" s="122"/>
      <c r="N88" s="122"/>
      <c r="O88" s="122"/>
      <c r="P88" s="122"/>
      <c r="Q88" s="122"/>
      <c r="R88" s="122"/>
      <c r="S88" s="122"/>
      <c r="T88" s="122"/>
      <c r="U88" s="122"/>
      <c r="V88" s="122"/>
      <c r="W88" s="122"/>
      <c r="X88" s="122"/>
      <c r="Y88" s="122"/>
      <c r="Z88" s="122"/>
      <c r="AA88" s="122"/>
      <c r="AB88" s="122"/>
    </row>
    <row r="89" spans="1:28" s="117" customFormat="1" ht="25" customHeight="1" x14ac:dyDescent="0.3">
      <c r="A89" s="87"/>
      <c r="B89" s="87"/>
      <c r="C89" s="87"/>
      <c r="D89" s="87"/>
      <c r="E89" s="87"/>
      <c r="F89" s="87"/>
      <c r="G89" s="88"/>
    </row>
    <row r="90" spans="1:28" s="117" customFormat="1" ht="32.15" customHeight="1" x14ac:dyDescent="0.3">
      <c r="A90" s="87"/>
      <c r="B90" s="422" t="s">
        <v>780</v>
      </c>
      <c r="C90" s="422"/>
      <c r="D90" s="422"/>
      <c r="E90" s="422"/>
      <c r="F90" s="422"/>
      <c r="G90" s="422"/>
    </row>
    <row r="91" spans="1:28" s="117" customFormat="1" ht="25" customHeight="1" x14ac:dyDescent="0.3">
      <c r="A91" s="87"/>
      <c r="B91" s="87"/>
      <c r="C91" s="87"/>
      <c r="D91" s="87"/>
      <c r="E91" s="87"/>
      <c r="F91" s="87"/>
      <c r="G91" s="88"/>
    </row>
    <row r="92" spans="1:28" s="117" customFormat="1" ht="25" customHeight="1" x14ac:dyDescent="0.3">
      <c r="A92" s="87"/>
      <c r="B92" s="87"/>
      <c r="C92" s="87"/>
      <c r="D92" s="87"/>
      <c r="E92" s="87"/>
      <c r="F92" s="87"/>
      <c r="G92" s="433" t="s">
        <v>781</v>
      </c>
    </row>
    <row r="93" spans="1:28" s="117" customFormat="1" ht="15" customHeight="1" x14ac:dyDescent="0.3">
      <c r="A93" s="87"/>
      <c r="B93" s="87"/>
      <c r="C93" s="87"/>
      <c r="D93" s="87"/>
      <c r="E93" s="87"/>
      <c r="F93" s="113" t="s">
        <v>748</v>
      </c>
      <c r="G93" s="92" t="str">
        <f>IF(ISERROR(G88+G85+G76),Q137,G88+G85+G76)</f>
        <v>Requires building information</v>
      </c>
    </row>
    <row r="94" spans="1:28" s="117" customFormat="1" x14ac:dyDescent="0.3">
      <c r="A94" s="87"/>
      <c r="B94" s="87"/>
      <c r="C94" s="87"/>
      <c r="D94" s="87"/>
      <c r="E94" s="87"/>
      <c r="F94" s="87"/>
      <c r="G94" s="88"/>
    </row>
    <row r="95" spans="1:28" s="117" customFormat="1" ht="39" customHeight="1" x14ac:dyDescent="0.3">
      <c r="A95" s="87"/>
      <c r="B95" s="87"/>
      <c r="C95" s="87"/>
      <c r="D95" s="433" t="s">
        <v>499</v>
      </c>
      <c r="E95" s="433" t="s">
        <v>782</v>
      </c>
      <c r="F95" s="433" t="s">
        <v>783</v>
      </c>
      <c r="G95" s="433" t="s">
        <v>784</v>
      </c>
    </row>
    <row r="96" spans="1:28" s="117" customFormat="1" ht="15" customHeight="1" x14ac:dyDescent="0.3">
      <c r="A96" s="87"/>
      <c r="B96" s="87"/>
      <c r="C96" s="293" t="str">
        <f>IF(AND(OR($G$61=$Q$129,$G$61=$Q$131,$G$61=$Q$132),OR($G$80=$Q$129,$G$80=$Q$131,$G$80=$Q$132)),"",IF(E96=$Q$131,"",IF(OR(E96="",F96=""),"&gt;","")))</f>
        <v>&gt;</v>
      </c>
      <c r="D96" s="169" t="s">
        <v>785</v>
      </c>
      <c r="E96" s="230"/>
      <c r="F96" s="231"/>
      <c r="G96" s="170">
        <f>IF(E96="no",0,F96*SUM(G24:G25))</f>
        <v>0</v>
      </c>
    </row>
    <row r="97" spans="1:40" s="117" customFormat="1" ht="15" customHeight="1" x14ac:dyDescent="0.3">
      <c r="A97" s="87"/>
      <c r="B97" s="268"/>
      <c r="C97" s="293" t="str">
        <f>IF(B24=R131,"",IF(AND(OR($G$61=$Q$129,$G$61=$Q$131,$G$61=$Q$132),OR($G$80=$Q$129,$G$80=$Q$131,$G$80=$Q$132)),"",IF(E97=$Q$131,"",IF(OR(E97="",F97=""),"&gt;",""))))</f>
        <v>&gt;</v>
      </c>
      <c r="D97" s="169" t="s">
        <v>786</v>
      </c>
      <c r="E97" s="230"/>
      <c r="F97" s="231"/>
      <c r="G97" s="170">
        <f>IF(OR(E97="no",B24=R131),0,F97*SUM(G28:G34))</f>
        <v>0</v>
      </c>
    </row>
    <row r="98" spans="1:40" s="117" customFormat="1" ht="25" customHeight="1" x14ac:dyDescent="0.3">
      <c r="A98" s="87"/>
      <c r="B98" s="87"/>
      <c r="C98" s="87"/>
      <c r="D98" s="87"/>
      <c r="E98" s="87"/>
      <c r="F98" s="87"/>
      <c r="G98" s="433" t="s">
        <v>787</v>
      </c>
    </row>
    <row r="99" spans="1:40" s="117" customFormat="1" ht="15" customHeight="1" x14ac:dyDescent="0.3">
      <c r="A99" s="87"/>
      <c r="B99" s="87"/>
      <c r="C99" s="87"/>
      <c r="D99" s="87"/>
      <c r="E99" s="87"/>
      <c r="F99" s="171" t="s">
        <v>748</v>
      </c>
      <c r="G99" s="92">
        <f>IF((SUM(G96:G97))&gt;G93,G93,SUM(G96:G97))</f>
        <v>0</v>
      </c>
    </row>
    <row r="100" spans="1:40" s="117" customFormat="1" ht="25" customHeight="1" x14ac:dyDescent="0.3">
      <c r="A100" s="87"/>
      <c r="B100" s="87"/>
      <c r="C100" s="87"/>
      <c r="D100" s="115" t="s">
        <v>788</v>
      </c>
      <c r="E100" s="87"/>
      <c r="F100" s="87"/>
      <c r="G100" s="88"/>
    </row>
    <row r="101" spans="1:40" s="117" customFormat="1" ht="15" customHeight="1" x14ac:dyDescent="0.3">
      <c r="A101" s="293"/>
      <c r="B101" s="87"/>
      <c r="C101" s="293" t="str">
        <f>IF(AND(OR($G$61=$Q$129,$G$61=$Q$131,$G$61=$Q$132),OR($G$80=$Q$129,$G$80=$Q$131,$G$80=$Q$132)),"",IF(G101=$Q$129,"&gt;",""))</f>
        <v>&gt;</v>
      </c>
      <c r="D101" s="214"/>
      <c r="E101" s="134"/>
      <c r="F101" s="107" t="s">
        <v>789</v>
      </c>
      <c r="G101" s="232" t="s">
        <v>699</v>
      </c>
    </row>
    <row r="102" spans="1:40" s="117" customFormat="1" ht="25" customHeight="1" x14ac:dyDescent="0.3">
      <c r="A102" s="87"/>
      <c r="B102" s="87"/>
      <c r="C102" s="87"/>
      <c r="D102" s="87"/>
      <c r="E102" s="87"/>
      <c r="F102" s="87"/>
      <c r="G102" s="433" t="s">
        <v>790</v>
      </c>
    </row>
    <row r="103" spans="1:40" s="117" customFormat="1" ht="15" customHeight="1" x14ac:dyDescent="0.3">
      <c r="A103" s="87"/>
      <c r="B103" s="87"/>
      <c r="C103" s="87"/>
      <c r="D103" s="87"/>
      <c r="E103" s="87"/>
      <c r="F103" s="87"/>
      <c r="G103" s="174" t="str">
        <f>IF(ISERROR(IF(AND(G101="yes",G99&gt;G93),0,(G93-G99)*O138)),Q137,IF(AND(G101="yes",G99&gt;G93),0,(G93-G99)*O138))</f>
        <v>Requires building information</v>
      </c>
    </row>
    <row r="104" spans="1:40" s="117" customFormat="1" ht="15" customHeight="1" x14ac:dyDescent="0.3">
      <c r="A104" s="87"/>
      <c r="B104" s="87"/>
      <c r="C104" s="293" t="str">
        <f>IF(AND(OR($G$61=$Q$129,$G$61=$Q$131,$G$61=$Q$132),OR($G$80=$Q$129,$G$80=$Q$131,$G$80=$Q$132)),"",IF(AND(G101=$Q$130,G104=""),"&gt;",""))</f>
        <v/>
      </c>
      <c r="D104" s="172"/>
      <c r="E104" s="173"/>
      <c r="F104" s="107" t="s">
        <v>791</v>
      </c>
      <c r="G104" s="233"/>
    </row>
    <row r="105" spans="1:40" s="117" customFormat="1" ht="25" customHeight="1" x14ac:dyDescent="0.3">
      <c r="A105" s="87"/>
      <c r="B105" s="87"/>
      <c r="C105" s="87"/>
      <c r="D105" s="87"/>
      <c r="E105" s="87"/>
      <c r="F105" s="87"/>
      <c r="G105" s="433" t="s">
        <v>792</v>
      </c>
    </row>
    <row r="106" spans="1:40" s="117" customFormat="1" ht="15" customHeight="1" x14ac:dyDescent="0.3">
      <c r="A106" s="87"/>
      <c r="B106" s="87"/>
      <c r="C106" s="87"/>
      <c r="D106" s="87"/>
      <c r="E106" s="87"/>
      <c r="F106" s="113" t="s">
        <v>748</v>
      </c>
      <c r="G106" s="170" t="str">
        <f>IF(ISERROR((G104*G103)/O138),Q137,(G104*G103)/O138)</f>
        <v>Requires building information</v>
      </c>
      <c r="AC106" s="119"/>
      <c r="AN106" s="120"/>
    </row>
    <row r="107" spans="1:40" s="117" customFormat="1" ht="15" customHeight="1" x14ac:dyDescent="0.3">
      <c r="A107" s="87"/>
      <c r="B107" s="87"/>
      <c r="C107" s="87"/>
      <c r="D107" s="87"/>
      <c r="E107" s="87"/>
      <c r="F107" s="87"/>
      <c r="G107" s="88"/>
      <c r="AC107" s="119"/>
      <c r="AN107" s="120"/>
    </row>
    <row r="108" spans="1:40" s="117" customFormat="1" ht="39" customHeight="1" x14ac:dyDescent="0.3">
      <c r="A108" s="87"/>
      <c r="B108" s="87"/>
      <c r="C108" s="87"/>
      <c r="D108" s="87"/>
      <c r="E108" s="87"/>
      <c r="F108" s="87"/>
      <c r="G108" s="433" t="s">
        <v>793</v>
      </c>
      <c r="AC108" s="119"/>
      <c r="AN108" s="120"/>
    </row>
    <row r="109" spans="1:40" s="117" customFormat="1" ht="15" customHeight="1" x14ac:dyDescent="0.3">
      <c r="A109" s="87"/>
      <c r="B109" s="87"/>
      <c r="C109" s="87"/>
      <c r="D109" s="87"/>
      <c r="E109" s="87"/>
      <c r="F109" s="113" t="s">
        <v>749</v>
      </c>
      <c r="G109" s="92" t="str">
        <f>IF(ISERROR(G99+G106),Q137,G99+G106)</f>
        <v>Requires building information</v>
      </c>
      <c r="AC109" s="119"/>
      <c r="AN109" s="120"/>
    </row>
    <row r="110" spans="1:40" s="117" customFormat="1" ht="25" customHeight="1" x14ac:dyDescent="0.3">
      <c r="A110" s="87"/>
      <c r="B110" s="87"/>
      <c r="C110" s="87"/>
      <c r="D110" s="87"/>
      <c r="E110" s="87"/>
      <c r="F110" s="87"/>
      <c r="G110" s="88"/>
      <c r="AC110" s="119"/>
      <c r="AN110" s="120"/>
    </row>
    <row r="111" spans="1:40" s="117" customFormat="1" ht="32.15" customHeight="1" x14ac:dyDescent="0.3">
      <c r="A111" s="87"/>
      <c r="B111" s="422" t="s">
        <v>794</v>
      </c>
      <c r="C111" s="422"/>
      <c r="D111" s="422"/>
      <c r="E111" s="422"/>
      <c r="F111" s="422"/>
      <c r="G111" s="422"/>
      <c r="AC111" s="119"/>
      <c r="AN111" s="120"/>
    </row>
    <row r="112" spans="1:40" s="117" customFormat="1" ht="25" customHeight="1" x14ac:dyDescent="0.3">
      <c r="A112" s="87"/>
      <c r="B112" s="87"/>
      <c r="C112" s="136"/>
      <c r="D112" s="87"/>
      <c r="E112" s="87"/>
      <c r="F112" s="87"/>
      <c r="G112" s="88"/>
      <c r="AC112" s="119"/>
      <c r="AN112" s="120"/>
    </row>
    <row r="113" spans="1:40" s="117" customFormat="1" ht="25" customHeight="1" x14ac:dyDescent="0.3">
      <c r="A113" s="87"/>
      <c r="B113" s="87"/>
      <c r="C113" s="136"/>
      <c r="D113" s="121"/>
      <c r="E113" s="87"/>
      <c r="F113" s="433" t="s">
        <v>738</v>
      </c>
      <c r="G113" s="433" t="s">
        <v>795</v>
      </c>
      <c r="AC113" s="119"/>
      <c r="AN113" s="120"/>
    </row>
    <row r="114" spans="1:40" s="117" customFormat="1" ht="15" customHeight="1" x14ac:dyDescent="0.3">
      <c r="A114" s="87"/>
      <c r="B114" s="437"/>
      <c r="C114" s="438"/>
      <c r="D114" s="438"/>
      <c r="E114" s="439" t="s">
        <v>796</v>
      </c>
      <c r="F114" s="436" t="str">
        <f>IF(ISERROR(R57),Q137,R57)</f>
        <v>Requires building information</v>
      </c>
      <c r="G114" s="175" t="str">
        <f>IF(ISERROR((F114/1000)*$F$13),Q137,(F114/1000)*$F$13)</f>
        <v>Requires building information</v>
      </c>
      <c r="AC114" s="119"/>
      <c r="AN114" s="120"/>
    </row>
    <row r="115" spans="1:40" s="117" customFormat="1" x14ac:dyDescent="0.3">
      <c r="A115" s="87"/>
      <c r="B115" s="87"/>
      <c r="C115" s="87"/>
      <c r="D115" s="87"/>
      <c r="E115" s="136"/>
      <c r="F115" s="138"/>
      <c r="G115" s="88"/>
      <c r="AC115" s="119"/>
      <c r="AN115" s="120"/>
    </row>
    <row r="116" spans="1:40" s="117" customFormat="1" ht="15" customHeight="1" x14ac:dyDescent="0.3">
      <c r="A116" s="87"/>
      <c r="B116" s="437"/>
      <c r="C116" s="438"/>
      <c r="D116" s="438"/>
      <c r="E116" s="439" t="s">
        <v>797</v>
      </c>
      <c r="F116" s="175" t="str">
        <f>IF(ISERROR(G57-R60),Q137,G57-R60)</f>
        <v>Requires building information</v>
      </c>
      <c r="G116" s="175" t="str">
        <f>IF(ISERROR((F116/1000)*$F$13),Q137,(F116/1000)*$F$13)</f>
        <v>Requires building information</v>
      </c>
      <c r="AC116" s="119"/>
      <c r="AN116" s="120"/>
    </row>
    <row r="117" spans="1:40" s="117" customFormat="1" x14ac:dyDescent="0.3">
      <c r="A117" s="87"/>
      <c r="B117" s="87"/>
      <c r="C117" s="87"/>
      <c r="D117" s="87"/>
      <c r="E117" s="136"/>
      <c r="F117" s="138"/>
      <c r="G117" s="138"/>
      <c r="AC117" s="119"/>
      <c r="AN117" s="120"/>
    </row>
    <row r="118" spans="1:40" s="117" customFormat="1" ht="15" customHeight="1" x14ac:dyDescent="0.3">
      <c r="A118" s="87"/>
      <c r="B118" s="437"/>
      <c r="C118" s="438"/>
      <c r="D118" s="438"/>
      <c r="E118" s="439" t="s">
        <v>798</v>
      </c>
      <c r="F118" s="175" t="str">
        <f>IF(ISERROR(G109),Q137,G109)</f>
        <v>Requires building information</v>
      </c>
      <c r="G118" s="175" t="str">
        <f>IF(ISERROR((F118/1000)*$F$13),Q137,(F118/1000)*$F$13)</f>
        <v>Requires building information</v>
      </c>
      <c r="H118" s="119"/>
      <c r="I118" s="139"/>
      <c r="J118" s="139"/>
      <c r="K118" s="139"/>
      <c r="L118" s="139"/>
      <c r="N118" s="140"/>
      <c r="AC118" s="119"/>
      <c r="AN118" s="120"/>
    </row>
    <row r="119" spans="1:40" s="117" customFormat="1" x14ac:dyDescent="0.3">
      <c r="A119" s="87"/>
      <c r="B119" s="87"/>
      <c r="C119" s="87"/>
      <c r="D119" s="87"/>
      <c r="E119" s="136"/>
      <c r="F119" s="138"/>
      <c r="G119" s="138"/>
      <c r="H119" s="119"/>
      <c r="N119" s="140"/>
      <c r="AC119" s="119"/>
      <c r="AN119" s="120"/>
    </row>
    <row r="120" spans="1:40" s="117" customFormat="1" ht="15" customHeight="1" x14ac:dyDescent="0.3">
      <c r="A120" s="87"/>
      <c r="B120" s="437"/>
      <c r="C120" s="438"/>
      <c r="D120" s="438"/>
      <c r="E120" s="439" t="s">
        <v>799</v>
      </c>
      <c r="F120" s="175" t="str">
        <f>IF(ISERROR(IF(AND((OR(G80=Q132,G80=Q131)),((OR(G61=Q132,G61=Q131)))),Q132,IF(OR(N124="1 credit",N124="2 credits",N124="3 credits"),Q135,IF(OR(N124="4 credits",N124="5 credits"),(IF((1-(F116/F114))&lt;0.25,"No","Yes")))))),Q137,IF(AND((OR(G80=Q132,G80=Q131)),((OR(G61=Q132,G61=Q131)))),Q132,IF(OR(N124="1 credit",N124="2 credits",N124="3 credits"),Q135,IF(OR(N124="4 credits",N124="5 credits"),(IF((1-(F116/F114))&lt;0.25,"No","Yes"))))))</f>
        <v>Requires building information</v>
      </c>
      <c r="G120" s="138"/>
      <c r="H120" s="119"/>
      <c r="I120" s="141"/>
      <c r="J120" s="141"/>
      <c r="K120" s="141"/>
      <c r="L120" s="141"/>
      <c r="M120" s="87"/>
      <c r="N120" s="140"/>
      <c r="AC120" s="119"/>
      <c r="AN120" s="120"/>
    </row>
    <row r="121" spans="1:40" s="117" customFormat="1" ht="25" customHeight="1" x14ac:dyDescent="0.3">
      <c r="A121" s="87"/>
      <c r="B121" s="87"/>
      <c r="C121" s="87"/>
      <c r="D121" s="87"/>
      <c r="E121" s="136"/>
      <c r="F121" s="138"/>
      <c r="G121" s="138"/>
      <c r="H121" s="119"/>
      <c r="M121" s="87"/>
      <c r="N121" s="142" t="s">
        <v>800</v>
      </c>
      <c r="O121" s="140"/>
      <c r="AC121" s="119"/>
      <c r="AN121" s="120"/>
    </row>
    <row r="122" spans="1:40" s="117" customFormat="1" ht="15" customHeight="1" x14ac:dyDescent="0.3">
      <c r="A122" s="87"/>
      <c r="B122" s="437"/>
      <c r="C122" s="438"/>
      <c r="D122" s="438"/>
      <c r="E122" s="439" t="s">
        <v>801</v>
      </c>
      <c r="F122" s="175" t="str">
        <f>IF(ISERROR(IF(OR(F120="Yes",F120=Q132),F116-F118,(F116-((1-(F116/F114))*F118)))),Q137,IF(OR(F120="Yes",F120=Q132),F116-F118,(F116-((1-(F116/F114))*F118))))</f>
        <v>Requires building information</v>
      </c>
      <c r="G122" s="175" t="str">
        <f>IF(ISERROR((F122/1000)*$F$13),Q137,((F122/1000)*$F$13))</f>
        <v>Requires building information</v>
      </c>
      <c r="H122" s="119"/>
      <c r="I122" s="128"/>
      <c r="J122" s="128"/>
      <c r="K122" s="128"/>
      <c r="L122" s="128"/>
      <c r="M122" s="87"/>
      <c r="N122" s="143" t="e">
        <f>1-(F116-F118)/F114</f>
        <v>#VALUE!</v>
      </c>
      <c r="O122" s="140" t="s">
        <v>802</v>
      </c>
      <c r="AC122" s="119"/>
      <c r="AN122" s="120"/>
    </row>
    <row r="123" spans="1:40" s="117" customFormat="1" x14ac:dyDescent="0.3">
      <c r="A123" s="87"/>
      <c r="B123" s="87"/>
      <c r="C123" s="87"/>
      <c r="D123" s="87"/>
      <c r="E123" s="136"/>
      <c r="F123" s="138"/>
      <c r="G123" s="138"/>
      <c r="H123" s="119"/>
      <c r="M123" s="87"/>
      <c r="N123" s="144"/>
      <c r="O123" s="140"/>
      <c r="AC123" s="119"/>
      <c r="AN123" s="120"/>
    </row>
    <row r="124" spans="1:40" s="117" customFormat="1" ht="15" customHeight="1" x14ac:dyDescent="0.3">
      <c r="A124" s="87"/>
      <c r="B124" s="437"/>
      <c r="C124" s="438"/>
      <c r="D124" s="438"/>
      <c r="E124" s="439" t="s">
        <v>803</v>
      </c>
      <c r="F124" s="176" t="str">
        <f>IF(OR(F114=Q137,F116=Q137,F118=Q137,F120=Q137),Q137,IF(OR(F120="yes",F120=Q135,F120=Q132),N122,(IF(F120="No",1-((F116-(F118*(1-(F116/F114))))/F114)))))</f>
        <v>Requires building information</v>
      </c>
      <c r="G124" s="88"/>
      <c r="H124" s="119"/>
      <c r="M124" s="121"/>
      <c r="N124" s="143" t="e">
        <f>VLOOKUP(N122,CreditsOff,2,TRUE)</f>
        <v>#VALUE!</v>
      </c>
      <c r="O124" s="140" t="s">
        <v>804</v>
      </c>
      <c r="AC124" s="119"/>
      <c r="AN124" s="120"/>
    </row>
    <row r="125" spans="1:40" s="117" customFormat="1" x14ac:dyDescent="0.3">
      <c r="A125" s="87"/>
      <c r="B125" s="87"/>
      <c r="C125" s="87"/>
      <c r="D125" s="87"/>
      <c r="E125" s="113"/>
      <c r="F125" s="145"/>
      <c r="G125" s="88"/>
      <c r="H125" s="119"/>
      <c r="M125" s="146"/>
      <c r="N125" s="140"/>
      <c r="AC125" s="119"/>
      <c r="AN125" s="120"/>
    </row>
    <row r="126" spans="1:40" s="117" customFormat="1" ht="15" customHeight="1" x14ac:dyDescent="0.3">
      <c r="A126" s="87"/>
      <c r="B126" s="437"/>
      <c r="C126" s="438"/>
      <c r="D126" s="438"/>
      <c r="E126" s="439" t="s">
        <v>805</v>
      </c>
      <c r="F126" s="177" t="str">
        <f>IF(ISERROR(VLOOKUP(F124,CreditsOff,2,TRUE)),Q137,VLOOKUP(F124,CreditsOff,2,TRUE))</f>
        <v>Requires building information</v>
      </c>
      <c r="G126" s="88"/>
      <c r="H126" s="119"/>
      <c r="I126" s="128"/>
      <c r="J126" s="128"/>
      <c r="K126" s="128"/>
      <c r="L126" s="128"/>
      <c r="M126" s="128"/>
      <c r="N126" s="128"/>
      <c r="AC126" s="119"/>
      <c r="AN126" s="120"/>
    </row>
    <row r="127" spans="1:40" s="117" customFormat="1" ht="15" customHeight="1" x14ac:dyDescent="0.3">
      <c r="A127" s="87"/>
      <c r="B127" s="87"/>
      <c r="C127" s="87"/>
      <c r="D127" s="87"/>
      <c r="E127" s="113"/>
      <c r="F127" s="91"/>
      <c r="G127" s="88"/>
      <c r="H127" s="119"/>
      <c r="M127" s="147"/>
      <c r="N127" s="140"/>
      <c r="AC127" s="119"/>
      <c r="AN127" s="120"/>
    </row>
    <row r="128" spans="1:40" s="117" customFormat="1" ht="15" customHeight="1" x14ac:dyDescent="0.3">
      <c r="A128" s="87"/>
      <c r="B128" s="437"/>
      <c r="C128" s="438"/>
      <c r="D128" s="438"/>
      <c r="E128" s="439" t="s">
        <v>806</v>
      </c>
      <c r="F128" s="177" t="str">
        <f>IF(F124=Q137,Q137,IF(F124&gt;=ExempOff,"1 innovation credit achieved","Exemplary level not achieved"))</f>
        <v>Requires building information</v>
      </c>
      <c r="G128" s="88"/>
      <c r="H128" s="148"/>
      <c r="I128" s="128"/>
      <c r="J128" s="128"/>
      <c r="K128" s="128"/>
      <c r="L128" s="128"/>
      <c r="M128" s="147"/>
      <c r="N128" s="140"/>
      <c r="U128" s="117" t="s">
        <v>807</v>
      </c>
      <c r="AC128" s="119"/>
      <c r="AN128" s="120"/>
    </row>
    <row r="129" spans="1:40" s="117" customFormat="1" ht="15" customHeight="1" x14ac:dyDescent="0.3">
      <c r="A129" s="87"/>
      <c r="B129" s="87"/>
      <c r="C129" s="87"/>
      <c r="D129" s="87"/>
      <c r="E129" s="87"/>
      <c r="F129" s="87"/>
      <c r="G129" s="88"/>
      <c r="H129" s="119"/>
      <c r="P129" s="117" t="s">
        <v>699</v>
      </c>
      <c r="Q129" s="117" t="s">
        <v>699</v>
      </c>
      <c r="R129" s="117" t="s">
        <v>699</v>
      </c>
      <c r="S129" s="117" t="s">
        <v>699</v>
      </c>
      <c r="T129" s="147">
        <v>0</v>
      </c>
      <c r="U129" s="117" t="s">
        <v>699</v>
      </c>
      <c r="AC129" s="119"/>
      <c r="AN129" s="120"/>
    </row>
    <row r="130" spans="1:40" s="117" customFormat="1" ht="15" customHeight="1" x14ac:dyDescent="0.3">
      <c r="A130" s="87"/>
      <c r="B130" s="437"/>
      <c r="C130" s="438"/>
      <c r="D130" s="438"/>
      <c r="E130" s="439" t="s">
        <v>808</v>
      </c>
      <c r="F130" s="175" t="str">
        <f>IF(ISERROR(F116+R60-F118),Q137,F116+R60-F118)</f>
        <v>Requires building information</v>
      </c>
      <c r="G130" s="175" t="str">
        <f>IF(ISERROR((F130/1000)*$F$13),Q137,(F130/1000)*$F$13)</f>
        <v>Requires building information</v>
      </c>
      <c r="H130" s="119"/>
      <c r="M130" s="128"/>
      <c r="N130" s="119"/>
      <c r="O130" s="133" t="s">
        <v>809</v>
      </c>
      <c r="P130" s="117" t="s">
        <v>810</v>
      </c>
      <c r="Q130" s="117" t="s">
        <v>811</v>
      </c>
      <c r="R130" s="128" t="str">
        <f>'Activity database'!I3</f>
        <v>WC - male (urinals installed)</v>
      </c>
      <c r="S130" s="149" t="s">
        <v>812</v>
      </c>
      <c r="T130" s="147">
        <v>0.01</v>
      </c>
      <c r="U130" s="117" t="s">
        <v>813</v>
      </c>
      <c r="AC130" s="119"/>
      <c r="AN130" s="120"/>
    </row>
    <row r="131" spans="1:40" s="117" customFormat="1" x14ac:dyDescent="0.3">
      <c r="A131" s="87"/>
      <c r="B131" s="87"/>
      <c r="C131" s="87"/>
      <c r="D131" s="150"/>
      <c r="E131" s="151"/>
      <c r="F131" s="87"/>
      <c r="G131" s="88"/>
      <c r="H131" s="119"/>
      <c r="M131" s="128"/>
      <c r="N131" s="130" t="str">
        <f>B16</f>
        <v>Office - Office areas</v>
      </c>
      <c r="O131" s="132">
        <f>IF(F16="Yes",VLOOKUP(B16,'Activity database'!A:BO,3,FALSE)*G16,0)</f>
        <v>0</v>
      </c>
      <c r="P131" s="117" t="s">
        <v>814</v>
      </c>
      <c r="Q131" s="117" t="s">
        <v>753</v>
      </c>
      <c r="R131" s="128" t="str">
        <f>'Activity database'!J3</f>
        <v>WC - male (no urinals installed)</v>
      </c>
      <c r="S131" s="149" t="s">
        <v>815</v>
      </c>
      <c r="T131" s="147">
        <v>0.02</v>
      </c>
      <c r="U131" s="117" t="s">
        <v>816</v>
      </c>
      <c r="AC131" s="119"/>
      <c r="AN131" s="120"/>
    </row>
    <row r="132" spans="1:40" s="117" customFormat="1" x14ac:dyDescent="0.3">
      <c r="A132" s="87"/>
      <c r="B132" s="87"/>
      <c r="C132" s="87"/>
      <c r="D132" s="152"/>
      <c r="E132" s="151"/>
      <c r="F132" s="87"/>
      <c r="G132" s="88"/>
      <c r="H132" s="119"/>
      <c r="M132" s="153"/>
      <c r="N132" s="119"/>
      <c r="Q132" s="117" t="s">
        <v>817</v>
      </c>
      <c r="T132" s="147">
        <v>0.03</v>
      </c>
      <c r="U132" s="117" t="s">
        <v>818</v>
      </c>
      <c r="AC132" s="119"/>
      <c r="AN132" s="120"/>
    </row>
    <row r="133" spans="1:40" s="117" customFormat="1" x14ac:dyDescent="0.3">
      <c r="A133" s="87"/>
      <c r="B133" s="87"/>
      <c r="C133" s="87"/>
      <c r="D133" s="152"/>
      <c r="E133" s="151"/>
      <c r="F133" s="87"/>
      <c r="G133" s="88"/>
      <c r="H133" s="119"/>
      <c r="N133" s="130" t="str">
        <f>B17</f>
        <v>Office - Small workshop / laboratory space</v>
      </c>
      <c r="O133" s="132">
        <f>IF(F17="Yes",VLOOKUP(B17,'Activity database'!A:BO,3,FALSE)*G17,0)</f>
        <v>0</v>
      </c>
      <c r="R133" s="140"/>
      <c r="T133" s="147">
        <v>0.04</v>
      </c>
      <c r="Y133" s="139"/>
      <c r="AC133" s="119"/>
      <c r="AN133" s="120"/>
    </row>
    <row r="134" spans="1:40" s="117" customFormat="1" x14ac:dyDescent="0.3">
      <c r="A134" s="87"/>
      <c r="B134" s="87"/>
      <c r="C134" s="87"/>
      <c r="D134" s="152"/>
      <c r="E134" s="151"/>
      <c r="F134" s="87"/>
      <c r="G134" s="88"/>
      <c r="N134" s="119"/>
      <c r="T134" s="147">
        <v>0.05</v>
      </c>
      <c r="AC134" s="119"/>
      <c r="AN134" s="120"/>
    </row>
    <row r="135" spans="1:40" s="117" customFormat="1" x14ac:dyDescent="0.3">
      <c r="A135" s="87"/>
      <c r="B135" s="87"/>
      <c r="C135" s="87"/>
      <c r="D135" s="152"/>
      <c r="E135" s="151"/>
      <c r="F135" s="87"/>
      <c r="G135" s="88"/>
      <c r="N135" s="130" t="str">
        <f>B18</f>
        <v>Office - Staff canteen dining area</v>
      </c>
      <c r="O135" s="132">
        <f>IF(F18="Yes",(VLOOKUP(B18,'Activity database'!A:BO,3,FALSE)*G18),0)</f>
        <v>0</v>
      </c>
      <c r="P135" s="154"/>
      <c r="Q135" s="117" t="s">
        <v>819</v>
      </c>
      <c r="R135" s="140"/>
      <c r="T135" s="147">
        <v>0.06</v>
      </c>
      <c r="AC135" s="119"/>
      <c r="AN135" s="120"/>
    </row>
    <row r="136" spans="1:40" s="117" customFormat="1" x14ac:dyDescent="0.3">
      <c r="A136" s="87"/>
      <c r="B136" s="87"/>
      <c r="C136" s="87"/>
      <c r="D136" s="152"/>
      <c r="E136" s="151"/>
      <c r="F136" s="87"/>
      <c r="G136" s="88"/>
      <c r="N136" s="119"/>
      <c r="T136" s="147">
        <v>7.0000000000000007E-2</v>
      </c>
      <c r="AC136" s="119"/>
      <c r="AN136" s="120"/>
    </row>
    <row r="137" spans="1:40" s="117" customFormat="1" x14ac:dyDescent="0.3">
      <c r="A137" s="87"/>
      <c r="B137" s="87"/>
      <c r="C137" s="87"/>
      <c r="D137" s="152"/>
      <c r="E137" s="151"/>
      <c r="F137" s="87"/>
      <c r="G137" s="88"/>
      <c r="N137" s="130" t="str">
        <f>B19</f>
        <v>Office - Fitness suite/gym (with changing facility and showers)</v>
      </c>
      <c r="O137" s="132">
        <f>IF(F19="Yes",VLOOKUP(B19,'Activity database'!A:BO,3,FALSE)*G18,0)</f>
        <v>0</v>
      </c>
      <c r="P137" s="154"/>
      <c r="Q137" s="117" t="s">
        <v>820</v>
      </c>
      <c r="R137" s="140"/>
      <c r="T137" s="147">
        <v>0.08</v>
      </c>
      <c r="AC137" s="119"/>
      <c r="AN137" s="120"/>
    </row>
    <row r="138" spans="1:40" s="117" customFormat="1" x14ac:dyDescent="0.3">
      <c r="A138" s="87"/>
      <c r="B138" s="87"/>
      <c r="C138" s="87"/>
      <c r="D138" s="155"/>
      <c r="E138" s="151"/>
      <c r="F138" s="87"/>
      <c r="G138" s="88"/>
      <c r="N138" s="130" t="s">
        <v>821</v>
      </c>
      <c r="O138" s="132">
        <f>SUM(O131:O137)</f>
        <v>0</v>
      </c>
      <c r="P138" s="154"/>
      <c r="R138" s="140"/>
      <c r="T138" s="147">
        <v>0.09</v>
      </c>
      <c r="AC138" s="119"/>
      <c r="AN138" s="120"/>
    </row>
    <row r="139" spans="1:40" s="117" customFormat="1" x14ac:dyDescent="0.3">
      <c r="A139" s="87"/>
      <c r="B139" s="87"/>
      <c r="C139" s="87"/>
      <c r="D139" s="155"/>
      <c r="E139" s="155"/>
      <c r="F139" s="87"/>
      <c r="G139" s="88"/>
      <c r="T139" s="147">
        <v>0.1</v>
      </c>
      <c r="AC139" s="119"/>
      <c r="AN139" s="120"/>
    </row>
    <row r="140" spans="1:40" s="117" customFormat="1" x14ac:dyDescent="0.3">
      <c r="A140" s="87"/>
      <c r="B140" s="87"/>
      <c r="C140" s="87"/>
      <c r="D140" s="156"/>
      <c r="E140" s="156"/>
      <c r="F140" s="156"/>
      <c r="G140" s="156"/>
      <c r="N140" s="127"/>
      <c r="T140" s="147">
        <v>0.11</v>
      </c>
      <c r="AC140" s="119"/>
      <c r="AN140" s="120"/>
    </row>
    <row r="141" spans="1:40" s="117" customFormat="1" x14ac:dyDescent="0.3">
      <c r="A141" s="87"/>
      <c r="B141" s="87"/>
      <c r="C141" s="87"/>
      <c r="D141" s="157"/>
      <c r="E141" s="157"/>
      <c r="F141" s="157"/>
      <c r="G141" s="157"/>
      <c r="N141" s="117" t="s">
        <v>822</v>
      </c>
      <c r="O141" s="158"/>
      <c r="P141" s="158"/>
      <c r="T141" s="147">
        <v>0.12</v>
      </c>
      <c r="AC141" s="119"/>
      <c r="AN141" s="120"/>
    </row>
    <row r="142" spans="1:40" s="117" customFormat="1" x14ac:dyDescent="0.3">
      <c r="A142" s="87"/>
      <c r="B142" s="87"/>
      <c r="C142" s="156"/>
      <c r="D142" s="156"/>
      <c r="E142" s="156"/>
      <c r="F142" s="156"/>
      <c r="G142" s="156"/>
      <c r="N142" s="117" t="s">
        <v>823</v>
      </c>
      <c r="O142" s="158"/>
      <c r="P142" s="158"/>
      <c r="T142" s="147">
        <v>0.13</v>
      </c>
      <c r="AC142" s="119"/>
      <c r="AN142" s="120"/>
    </row>
    <row r="143" spans="1:40" s="117" customFormat="1" x14ac:dyDescent="0.3">
      <c r="A143" s="87"/>
      <c r="B143" s="87"/>
      <c r="C143" s="156"/>
      <c r="D143" s="156"/>
      <c r="E143" s="156"/>
      <c r="F143" s="156"/>
      <c r="G143" s="156"/>
      <c r="N143" s="117" t="s">
        <v>824</v>
      </c>
      <c r="O143" s="158"/>
      <c r="P143" s="158"/>
      <c r="T143" s="147">
        <v>0.14000000000000001</v>
      </c>
      <c r="AC143" s="119"/>
      <c r="AN143" s="120"/>
    </row>
    <row r="144" spans="1:40" s="117" customFormat="1" x14ac:dyDescent="0.3">
      <c r="A144" s="87"/>
      <c r="B144" s="87"/>
      <c r="C144" s="157"/>
      <c r="D144" s="157"/>
      <c r="E144" s="157"/>
      <c r="F144" s="157"/>
      <c r="G144" s="157"/>
      <c r="N144" s="117" t="s">
        <v>825</v>
      </c>
      <c r="O144" s="158"/>
      <c r="P144" s="158"/>
      <c r="T144" s="147">
        <v>0.15</v>
      </c>
      <c r="AC144" s="119"/>
      <c r="AN144" s="120"/>
    </row>
    <row r="145" spans="1:40" s="117" customFormat="1" x14ac:dyDescent="0.3">
      <c r="A145" s="87"/>
      <c r="B145" s="87"/>
      <c r="C145" s="87"/>
      <c r="D145" s="87"/>
      <c r="E145" s="87"/>
      <c r="F145" s="87"/>
      <c r="G145" s="88"/>
      <c r="O145" s="159"/>
      <c r="P145" s="159"/>
      <c r="T145" s="147">
        <v>0.16</v>
      </c>
      <c r="AC145" s="119"/>
      <c r="AN145" s="120"/>
    </row>
    <row r="146" spans="1:40" s="117" customFormat="1" x14ac:dyDescent="0.3">
      <c r="A146" s="87"/>
      <c r="B146" s="87"/>
      <c r="C146" s="87"/>
      <c r="D146" s="87"/>
      <c r="E146" s="87"/>
      <c r="F146" s="87"/>
      <c r="G146" s="88"/>
      <c r="O146" s="159"/>
      <c r="P146" s="159"/>
      <c r="T146" s="147">
        <v>0.17</v>
      </c>
      <c r="AC146" s="119"/>
      <c r="AN146" s="120"/>
    </row>
    <row r="147" spans="1:40" s="117" customFormat="1" x14ac:dyDescent="0.3">
      <c r="A147" s="87"/>
      <c r="B147" s="87"/>
      <c r="C147" s="87"/>
      <c r="D147" s="87"/>
      <c r="E147" s="87"/>
      <c r="F147" s="87"/>
      <c r="G147" s="88"/>
      <c r="O147" s="159"/>
      <c r="P147" s="159"/>
      <c r="T147" s="147">
        <v>0.18</v>
      </c>
      <c r="AC147" s="119"/>
      <c r="AN147" s="120"/>
    </row>
    <row r="148" spans="1:40" s="117" customFormat="1" x14ac:dyDescent="0.3">
      <c r="A148" s="87"/>
      <c r="B148" s="87"/>
      <c r="C148" s="87"/>
      <c r="D148" s="157"/>
      <c r="E148" s="157"/>
      <c r="F148" s="157"/>
      <c r="G148" s="157"/>
      <c r="H148" s="127"/>
      <c r="O148" s="159"/>
      <c r="P148" s="159"/>
      <c r="T148" s="147">
        <v>0.19</v>
      </c>
      <c r="AC148" s="119"/>
      <c r="AN148" s="120"/>
    </row>
    <row r="149" spans="1:40" s="117" customFormat="1" x14ac:dyDescent="0.3">
      <c r="A149" s="87"/>
      <c r="B149" s="87"/>
      <c r="C149" s="87"/>
      <c r="D149" s="87"/>
      <c r="E149" s="87"/>
      <c r="F149" s="87"/>
      <c r="G149" s="88"/>
      <c r="O149" s="159"/>
      <c r="P149" s="159"/>
      <c r="T149" s="147">
        <v>0.2</v>
      </c>
      <c r="AC149" s="119"/>
      <c r="AN149" s="120"/>
    </row>
    <row r="150" spans="1:40" s="117" customFormat="1" x14ac:dyDescent="0.3">
      <c r="A150" s="87"/>
      <c r="B150" s="87"/>
      <c r="C150" s="87"/>
      <c r="D150" s="87"/>
      <c r="E150" s="87"/>
      <c r="F150" s="87"/>
      <c r="G150" s="88"/>
      <c r="O150" s="159"/>
      <c r="P150" s="159"/>
      <c r="T150" s="147">
        <v>0.21</v>
      </c>
      <c r="AC150" s="119"/>
      <c r="AN150" s="120"/>
    </row>
    <row r="151" spans="1:40" s="117" customFormat="1" x14ac:dyDescent="0.3">
      <c r="A151" s="87"/>
      <c r="B151" s="87"/>
      <c r="C151" s="87"/>
      <c r="D151" s="87"/>
      <c r="E151" s="87"/>
      <c r="F151" s="87"/>
      <c r="G151" s="88"/>
      <c r="O151" s="159"/>
      <c r="P151" s="159"/>
      <c r="T151" s="147">
        <v>0.22</v>
      </c>
      <c r="AC151" s="119"/>
      <c r="AN151" s="120"/>
    </row>
    <row r="152" spans="1:40" s="117" customFormat="1" x14ac:dyDescent="0.3">
      <c r="A152" s="87"/>
      <c r="B152" s="87"/>
      <c r="C152" s="87"/>
      <c r="D152" s="87"/>
      <c r="E152" s="87"/>
      <c r="F152" s="87"/>
      <c r="G152" s="88"/>
      <c r="O152" s="158"/>
      <c r="P152" s="158"/>
      <c r="T152" s="147">
        <v>0.23</v>
      </c>
      <c r="AC152" s="119"/>
      <c r="AN152" s="120"/>
    </row>
    <row r="153" spans="1:40" s="117" customFormat="1" x14ac:dyDescent="0.3">
      <c r="A153" s="87"/>
      <c r="B153" s="87"/>
      <c r="C153" s="87"/>
      <c r="D153" s="87"/>
      <c r="E153" s="87"/>
      <c r="F153" s="87"/>
      <c r="G153" s="88"/>
      <c r="O153" s="158"/>
      <c r="P153" s="158"/>
      <c r="T153" s="147">
        <v>0.24</v>
      </c>
      <c r="AC153" s="119"/>
      <c r="AN153" s="120"/>
    </row>
    <row r="154" spans="1:40" s="117" customFormat="1" x14ac:dyDescent="0.3">
      <c r="A154" s="87"/>
      <c r="B154" s="87"/>
      <c r="C154" s="87"/>
      <c r="D154" s="87"/>
      <c r="E154" s="87"/>
      <c r="F154" s="87"/>
      <c r="G154" s="88"/>
      <c r="O154" s="158"/>
      <c r="P154" s="158"/>
      <c r="T154" s="147">
        <v>0.25</v>
      </c>
      <c r="AC154" s="119"/>
      <c r="AN154" s="120"/>
    </row>
    <row r="155" spans="1:40" s="117" customFormat="1" x14ac:dyDescent="0.3">
      <c r="A155" s="87"/>
      <c r="B155" s="87"/>
      <c r="C155" s="87"/>
      <c r="D155" s="87"/>
      <c r="E155" s="87"/>
      <c r="F155" s="87"/>
      <c r="G155" s="88"/>
      <c r="O155" s="159"/>
      <c r="P155" s="159"/>
      <c r="T155" s="147">
        <v>0.26</v>
      </c>
      <c r="AC155" s="119"/>
      <c r="AN155" s="120"/>
    </row>
    <row r="156" spans="1:40" s="117" customFormat="1" x14ac:dyDescent="0.3">
      <c r="A156" s="87"/>
      <c r="B156" s="87"/>
      <c r="C156" s="87"/>
      <c r="D156" s="87"/>
      <c r="E156" s="87"/>
      <c r="F156" s="87"/>
      <c r="G156" s="88"/>
      <c r="O156" s="158"/>
      <c r="P156" s="158"/>
      <c r="T156" s="147">
        <v>0.27</v>
      </c>
      <c r="AC156" s="119"/>
      <c r="AN156" s="120"/>
    </row>
    <row r="157" spans="1:40" s="117" customFormat="1" x14ac:dyDescent="0.3">
      <c r="A157" s="87"/>
      <c r="B157" s="87"/>
      <c r="C157" s="87"/>
      <c r="D157" s="87"/>
      <c r="E157" s="87"/>
      <c r="F157" s="87"/>
      <c r="G157" s="88"/>
      <c r="O157" s="159"/>
      <c r="P157" s="159"/>
      <c r="T157" s="147">
        <v>0.28000000000000003</v>
      </c>
      <c r="AC157" s="119"/>
      <c r="AN157" s="120"/>
    </row>
    <row r="158" spans="1:40" s="117" customFormat="1" x14ac:dyDescent="0.3">
      <c r="A158" s="87"/>
      <c r="B158" s="87"/>
      <c r="C158" s="87"/>
      <c r="D158" s="87"/>
      <c r="E158" s="87"/>
      <c r="F158" s="87"/>
      <c r="G158" s="88"/>
      <c r="O158" s="159"/>
      <c r="P158" s="159"/>
      <c r="T158" s="147">
        <v>0.28999999999999998</v>
      </c>
      <c r="AC158" s="119"/>
      <c r="AN158" s="120"/>
    </row>
    <row r="159" spans="1:40" s="117" customFormat="1" x14ac:dyDescent="0.3">
      <c r="A159" s="87"/>
      <c r="B159" s="87"/>
      <c r="C159" s="87"/>
      <c r="D159" s="87"/>
      <c r="E159" s="87"/>
      <c r="F159" s="87"/>
      <c r="G159" s="88"/>
      <c r="O159" s="158"/>
      <c r="P159" s="158"/>
      <c r="T159" s="147">
        <v>0.3</v>
      </c>
      <c r="AC159" s="119"/>
      <c r="AN159" s="120"/>
    </row>
    <row r="160" spans="1:40" s="117" customFormat="1" x14ac:dyDescent="0.3">
      <c r="A160" s="87"/>
      <c r="B160" s="87"/>
      <c r="C160" s="87"/>
      <c r="D160" s="87"/>
      <c r="E160" s="87"/>
      <c r="F160" s="87"/>
      <c r="G160" s="88"/>
      <c r="O160" s="159"/>
      <c r="P160" s="159"/>
      <c r="T160" s="147">
        <v>0.31</v>
      </c>
      <c r="AC160" s="119"/>
      <c r="AN160" s="120"/>
    </row>
    <row r="161" spans="1:40" s="117" customFormat="1" x14ac:dyDescent="0.3">
      <c r="A161" s="87"/>
      <c r="B161" s="87"/>
      <c r="C161" s="87"/>
      <c r="D161" s="87"/>
      <c r="E161" s="87"/>
      <c r="F161" s="87"/>
      <c r="G161" s="88"/>
      <c r="O161" s="159"/>
      <c r="P161" s="159"/>
      <c r="T161" s="147">
        <v>0.32</v>
      </c>
      <c r="AC161" s="119"/>
      <c r="AN161" s="120"/>
    </row>
    <row r="162" spans="1:40" s="117" customFormat="1" x14ac:dyDescent="0.3">
      <c r="A162" s="87"/>
      <c r="B162" s="87"/>
      <c r="C162" s="87"/>
      <c r="D162" s="87"/>
      <c r="E162" s="87"/>
      <c r="F162" s="87"/>
      <c r="G162" s="88"/>
      <c r="N162" s="119"/>
      <c r="O162" s="159"/>
      <c r="P162" s="159"/>
      <c r="T162" s="147">
        <v>0.33</v>
      </c>
      <c r="AC162" s="119"/>
      <c r="AN162" s="120"/>
    </row>
    <row r="163" spans="1:40" s="117" customFormat="1" x14ac:dyDescent="0.3">
      <c r="A163" s="87"/>
      <c r="B163" s="87"/>
      <c r="C163" s="87"/>
      <c r="D163" s="87"/>
      <c r="E163" s="87"/>
      <c r="F163" s="87"/>
      <c r="G163" s="88"/>
      <c r="O163" s="159"/>
      <c r="P163" s="159"/>
      <c r="T163" s="147">
        <v>0.34</v>
      </c>
      <c r="AC163" s="119"/>
      <c r="AN163" s="120"/>
    </row>
    <row r="164" spans="1:40" s="117" customFormat="1" x14ac:dyDescent="0.3">
      <c r="A164" s="87"/>
      <c r="B164" s="87"/>
      <c r="C164" s="87"/>
      <c r="D164" s="87"/>
      <c r="E164" s="87"/>
      <c r="F164" s="87"/>
      <c r="G164" s="88"/>
      <c r="O164" s="158"/>
      <c r="P164" s="158"/>
      <c r="T164" s="147">
        <v>0.35</v>
      </c>
      <c r="AC164" s="119"/>
      <c r="AN164" s="120"/>
    </row>
    <row r="165" spans="1:40" s="117" customFormat="1" x14ac:dyDescent="0.3">
      <c r="A165" s="87"/>
      <c r="B165" s="87"/>
      <c r="C165" s="87"/>
      <c r="D165" s="87"/>
      <c r="E165" s="87"/>
      <c r="F165" s="87"/>
      <c r="G165" s="88"/>
      <c r="O165" s="159"/>
      <c r="P165" s="159"/>
      <c r="T165" s="147">
        <v>0.36</v>
      </c>
      <c r="AC165" s="119"/>
      <c r="AN165" s="120"/>
    </row>
    <row r="166" spans="1:40" s="117" customFormat="1" x14ac:dyDescent="0.3">
      <c r="A166" s="87"/>
      <c r="B166" s="87"/>
      <c r="C166" s="87"/>
      <c r="D166" s="87"/>
      <c r="E166" s="87"/>
      <c r="F166" s="87"/>
      <c r="G166" s="88"/>
      <c r="O166" s="159"/>
      <c r="P166" s="159"/>
      <c r="T166" s="147">
        <v>0.37</v>
      </c>
      <c r="AC166" s="119"/>
      <c r="AN166" s="120"/>
    </row>
    <row r="167" spans="1:40" s="117" customFormat="1" x14ac:dyDescent="0.3">
      <c r="A167" s="87"/>
      <c r="B167" s="87"/>
      <c r="C167" s="87"/>
      <c r="D167" s="87"/>
      <c r="E167" s="87"/>
      <c r="F167" s="87"/>
      <c r="G167" s="88"/>
      <c r="O167" s="159"/>
      <c r="P167" s="159"/>
      <c r="T167" s="147">
        <v>0.38</v>
      </c>
      <c r="AC167" s="119"/>
      <c r="AN167" s="120"/>
    </row>
    <row r="168" spans="1:40" s="117" customFormat="1" x14ac:dyDescent="0.3">
      <c r="A168" s="87"/>
      <c r="B168" s="87"/>
      <c r="C168" s="87"/>
      <c r="D168" s="87"/>
      <c r="E168" s="87"/>
      <c r="F168" s="87"/>
      <c r="G168" s="88"/>
      <c r="O168" s="159"/>
      <c r="P168" s="159"/>
      <c r="T168" s="147">
        <v>0.39</v>
      </c>
      <c r="AC168" s="119"/>
      <c r="AN168" s="120"/>
    </row>
    <row r="169" spans="1:40" s="117" customFormat="1" x14ac:dyDescent="0.3">
      <c r="A169" s="87"/>
      <c r="B169" s="87"/>
      <c r="C169" s="87"/>
      <c r="D169" s="87"/>
      <c r="E169" s="87"/>
      <c r="F169" s="87"/>
      <c r="G169" s="88"/>
      <c r="O169" s="159"/>
      <c r="P169" s="159"/>
      <c r="T169" s="147">
        <v>0.4</v>
      </c>
      <c r="AC169" s="119"/>
      <c r="AN169" s="120"/>
    </row>
    <row r="170" spans="1:40" s="117" customFormat="1" x14ac:dyDescent="0.3">
      <c r="A170" s="87"/>
      <c r="B170" s="87"/>
      <c r="C170" s="87"/>
      <c r="D170" s="87"/>
      <c r="E170" s="87"/>
      <c r="F170" s="87"/>
      <c r="G170" s="88"/>
      <c r="O170" s="159"/>
      <c r="P170" s="159"/>
      <c r="T170" s="147">
        <v>0.41</v>
      </c>
      <c r="AC170" s="119"/>
      <c r="AN170" s="120"/>
    </row>
    <row r="171" spans="1:40" s="117" customFormat="1" x14ac:dyDescent="0.3">
      <c r="A171" s="87"/>
      <c r="B171" s="87"/>
      <c r="C171" s="87"/>
      <c r="D171" s="87"/>
      <c r="E171" s="87"/>
      <c r="F171" s="87"/>
      <c r="G171" s="88"/>
      <c r="O171" s="159"/>
      <c r="P171" s="159"/>
      <c r="T171" s="147">
        <v>0.42</v>
      </c>
      <c r="AC171" s="119"/>
      <c r="AN171" s="120"/>
    </row>
    <row r="172" spans="1:40" s="117" customFormat="1" x14ac:dyDescent="0.3">
      <c r="A172" s="87"/>
      <c r="B172" s="87"/>
      <c r="C172" s="87"/>
      <c r="D172" s="87"/>
      <c r="E172" s="87"/>
      <c r="F172" s="87"/>
      <c r="G172" s="88"/>
      <c r="O172" s="159"/>
      <c r="P172" s="159"/>
      <c r="T172" s="147">
        <v>0.43</v>
      </c>
      <c r="AC172" s="119"/>
      <c r="AN172" s="120"/>
    </row>
    <row r="173" spans="1:40" s="117" customFormat="1" x14ac:dyDescent="0.3">
      <c r="A173" s="87"/>
      <c r="B173" s="87"/>
      <c r="C173" s="87"/>
      <c r="D173" s="87"/>
      <c r="E173" s="87"/>
      <c r="F173" s="87"/>
      <c r="G173" s="88"/>
      <c r="O173" s="159"/>
      <c r="P173" s="159"/>
      <c r="T173" s="147">
        <v>0.44</v>
      </c>
      <c r="AC173" s="119"/>
      <c r="AN173" s="120"/>
    </row>
    <row r="174" spans="1:40" s="117" customFormat="1" x14ac:dyDescent="0.3">
      <c r="A174" s="87"/>
      <c r="B174" s="87"/>
      <c r="C174" s="87"/>
      <c r="D174" s="87"/>
      <c r="E174" s="87"/>
      <c r="F174" s="87"/>
      <c r="G174" s="88"/>
      <c r="O174" s="159"/>
      <c r="P174" s="159"/>
      <c r="T174" s="147">
        <v>0.45</v>
      </c>
      <c r="AC174" s="119"/>
      <c r="AN174" s="120"/>
    </row>
    <row r="175" spans="1:40" s="117" customFormat="1" x14ac:dyDescent="0.3">
      <c r="A175" s="87"/>
      <c r="B175" s="87"/>
      <c r="C175" s="87"/>
      <c r="D175" s="87"/>
      <c r="E175" s="87"/>
      <c r="F175" s="87"/>
      <c r="G175" s="88"/>
      <c r="O175" s="159"/>
      <c r="P175" s="159"/>
      <c r="T175" s="147">
        <v>0.46</v>
      </c>
      <c r="AC175" s="119"/>
      <c r="AN175" s="120"/>
    </row>
    <row r="176" spans="1:40" s="117" customFormat="1" x14ac:dyDescent="0.3">
      <c r="A176" s="87"/>
      <c r="B176" s="87"/>
      <c r="C176" s="87"/>
      <c r="D176" s="87"/>
      <c r="E176" s="87"/>
      <c r="F176" s="87"/>
      <c r="G176" s="88"/>
      <c r="O176" s="159"/>
      <c r="P176" s="159"/>
      <c r="T176" s="147">
        <v>0.47</v>
      </c>
      <c r="AC176" s="119"/>
      <c r="AN176" s="120"/>
    </row>
    <row r="177" spans="1:40" s="117" customFormat="1" x14ac:dyDescent="0.3">
      <c r="A177" s="87"/>
      <c r="B177" s="87"/>
      <c r="C177" s="87"/>
      <c r="D177" s="87"/>
      <c r="E177" s="87"/>
      <c r="F177" s="87"/>
      <c r="G177" s="88"/>
      <c r="O177" s="159"/>
      <c r="P177" s="159"/>
      <c r="T177" s="147">
        <v>0.48</v>
      </c>
      <c r="AC177" s="119"/>
      <c r="AN177" s="120"/>
    </row>
    <row r="178" spans="1:40" s="117" customFormat="1" x14ac:dyDescent="0.3">
      <c r="A178" s="87"/>
      <c r="B178" s="87"/>
      <c r="C178" s="87"/>
      <c r="D178" s="87"/>
      <c r="E178" s="87"/>
      <c r="F178" s="87"/>
      <c r="G178" s="88"/>
      <c r="O178" s="159"/>
      <c r="P178" s="159"/>
      <c r="T178" s="147">
        <v>0.49</v>
      </c>
      <c r="AC178" s="119"/>
      <c r="AN178" s="120"/>
    </row>
    <row r="179" spans="1:40" s="117" customFormat="1" x14ac:dyDescent="0.3">
      <c r="A179" s="87"/>
      <c r="B179" s="87"/>
      <c r="C179" s="87"/>
      <c r="D179" s="87"/>
      <c r="E179" s="87"/>
      <c r="F179" s="87"/>
      <c r="G179" s="88"/>
      <c r="O179" s="159"/>
      <c r="P179" s="159"/>
      <c r="T179" s="147">
        <v>0.5</v>
      </c>
      <c r="AC179" s="119"/>
      <c r="AN179" s="120"/>
    </row>
    <row r="180" spans="1:40" s="117" customFormat="1" x14ac:dyDescent="0.3">
      <c r="A180" s="87"/>
      <c r="B180" s="87"/>
      <c r="C180" s="87"/>
      <c r="D180" s="87"/>
      <c r="E180" s="87"/>
      <c r="F180" s="87"/>
      <c r="G180" s="88"/>
      <c r="O180" s="159"/>
      <c r="P180" s="159"/>
      <c r="T180" s="147">
        <v>0.51</v>
      </c>
      <c r="AC180" s="119"/>
      <c r="AN180" s="120"/>
    </row>
    <row r="181" spans="1:40" s="117" customFormat="1" x14ac:dyDescent="0.3">
      <c r="A181" s="87"/>
      <c r="B181" s="87"/>
      <c r="C181" s="87"/>
      <c r="D181" s="87"/>
      <c r="E181" s="87"/>
      <c r="F181" s="87"/>
      <c r="G181" s="88"/>
      <c r="O181" s="159"/>
      <c r="P181" s="159"/>
      <c r="T181" s="147">
        <v>0.52</v>
      </c>
      <c r="AC181" s="119"/>
      <c r="AN181" s="120"/>
    </row>
    <row r="182" spans="1:40" s="117" customFormat="1" x14ac:dyDescent="0.3">
      <c r="A182" s="87"/>
      <c r="B182" s="87"/>
      <c r="C182" s="87"/>
      <c r="D182" s="87"/>
      <c r="E182" s="87"/>
      <c r="F182" s="87"/>
      <c r="G182" s="88"/>
      <c r="O182" s="159"/>
      <c r="P182" s="159"/>
      <c r="T182" s="147">
        <v>0.53</v>
      </c>
      <c r="AC182" s="119"/>
      <c r="AN182" s="120"/>
    </row>
    <row r="183" spans="1:40" s="117" customFormat="1" x14ac:dyDescent="0.3">
      <c r="A183" s="87"/>
      <c r="B183" s="87"/>
      <c r="C183" s="87"/>
      <c r="D183" s="87"/>
      <c r="E183" s="87"/>
      <c r="F183" s="87"/>
      <c r="G183" s="88"/>
      <c r="O183" s="159"/>
      <c r="P183" s="159"/>
      <c r="T183" s="147">
        <v>0.54</v>
      </c>
      <c r="AC183" s="119"/>
      <c r="AN183" s="120"/>
    </row>
    <row r="184" spans="1:40" s="117" customFormat="1" x14ac:dyDescent="0.3">
      <c r="A184" s="87"/>
      <c r="B184" s="87"/>
      <c r="C184" s="87"/>
      <c r="D184" s="87"/>
      <c r="E184" s="87"/>
      <c r="F184" s="87"/>
      <c r="G184" s="88"/>
      <c r="O184" s="159"/>
      <c r="P184" s="159"/>
      <c r="T184" s="147">
        <v>0.55000000000000004</v>
      </c>
      <c r="AC184" s="119"/>
      <c r="AN184" s="120"/>
    </row>
    <row r="185" spans="1:40" s="117" customFormat="1" x14ac:dyDescent="0.3">
      <c r="A185" s="87"/>
      <c r="B185" s="87"/>
      <c r="C185" s="87"/>
      <c r="D185" s="87"/>
      <c r="E185" s="87"/>
      <c r="F185" s="87"/>
      <c r="G185" s="88"/>
      <c r="O185" s="159"/>
      <c r="P185" s="159"/>
      <c r="T185" s="147">
        <v>0.56000000000000005</v>
      </c>
      <c r="AC185" s="119"/>
      <c r="AN185" s="120"/>
    </row>
    <row r="186" spans="1:40" s="117" customFormat="1" x14ac:dyDescent="0.3">
      <c r="A186" s="87"/>
      <c r="B186" s="87"/>
      <c r="C186" s="87"/>
      <c r="D186" s="87"/>
      <c r="E186" s="87"/>
      <c r="F186" s="87"/>
      <c r="G186" s="88"/>
      <c r="O186" s="159"/>
      <c r="P186" s="159"/>
      <c r="T186" s="147">
        <v>0.56999999999999995</v>
      </c>
      <c r="AC186" s="119"/>
      <c r="AN186" s="120"/>
    </row>
    <row r="187" spans="1:40" s="117" customFormat="1" x14ac:dyDescent="0.3">
      <c r="A187" s="87"/>
      <c r="B187" s="87"/>
      <c r="C187" s="87"/>
      <c r="D187" s="87"/>
      <c r="E187" s="87"/>
      <c r="F187" s="87"/>
      <c r="G187" s="88"/>
      <c r="O187" s="159"/>
      <c r="P187" s="159"/>
      <c r="T187" s="147">
        <v>0.57999999999999996</v>
      </c>
      <c r="AC187" s="119"/>
      <c r="AN187" s="120"/>
    </row>
    <row r="188" spans="1:40" x14ac:dyDescent="0.3">
      <c r="O188" s="252"/>
      <c r="P188" s="252"/>
      <c r="T188" s="156">
        <v>0.59</v>
      </c>
    </row>
    <row r="189" spans="1:40" x14ac:dyDescent="0.3">
      <c r="O189" s="252"/>
      <c r="P189" s="252"/>
      <c r="T189" s="156">
        <v>0.6</v>
      </c>
    </row>
    <row r="190" spans="1:40" x14ac:dyDescent="0.3">
      <c r="O190" s="252"/>
      <c r="P190" s="252"/>
      <c r="T190" s="156">
        <v>0.61</v>
      </c>
    </row>
    <row r="191" spans="1:40" x14ac:dyDescent="0.3">
      <c r="O191" s="252"/>
      <c r="P191" s="252"/>
      <c r="T191" s="156">
        <v>0.62</v>
      </c>
    </row>
    <row r="192" spans="1:40" x14ac:dyDescent="0.3">
      <c r="O192" s="252"/>
      <c r="P192" s="252"/>
      <c r="T192" s="156">
        <v>0.63</v>
      </c>
    </row>
    <row r="193" spans="14:20" x14ac:dyDescent="0.3">
      <c r="O193" s="252"/>
      <c r="P193" s="252"/>
      <c r="T193" s="156">
        <v>0.64</v>
      </c>
    </row>
    <row r="194" spans="14:20" x14ac:dyDescent="0.3">
      <c r="O194" s="252"/>
      <c r="P194" s="252"/>
      <c r="T194" s="156">
        <v>0.65</v>
      </c>
    </row>
    <row r="195" spans="14:20" x14ac:dyDescent="0.3">
      <c r="O195" s="252"/>
      <c r="P195" s="252"/>
      <c r="T195" s="156">
        <v>0.66</v>
      </c>
    </row>
    <row r="196" spans="14:20" x14ac:dyDescent="0.3">
      <c r="O196" s="252"/>
      <c r="P196" s="252"/>
      <c r="T196" s="156">
        <v>0.67</v>
      </c>
    </row>
    <row r="197" spans="14:20" x14ac:dyDescent="0.3">
      <c r="O197" s="252"/>
      <c r="P197" s="252"/>
      <c r="T197" s="156">
        <v>0.68</v>
      </c>
    </row>
    <row r="198" spans="14:20" x14ac:dyDescent="0.3">
      <c r="O198" s="252"/>
      <c r="P198" s="252"/>
      <c r="T198" s="156">
        <v>0.69</v>
      </c>
    </row>
    <row r="199" spans="14:20" x14ac:dyDescent="0.3">
      <c r="O199" s="252"/>
      <c r="P199" s="252"/>
      <c r="T199" s="156">
        <v>0.7</v>
      </c>
    </row>
    <row r="200" spans="14:20" x14ac:dyDescent="0.3">
      <c r="O200" s="252"/>
      <c r="P200" s="252"/>
      <c r="T200" s="156">
        <v>0.71</v>
      </c>
    </row>
    <row r="201" spans="14:20" x14ac:dyDescent="0.3">
      <c r="N201" s="255"/>
      <c r="O201" s="252"/>
      <c r="P201" s="252"/>
      <c r="T201" s="156">
        <v>0.72</v>
      </c>
    </row>
    <row r="202" spans="14:20" x14ac:dyDescent="0.3">
      <c r="N202" s="255"/>
      <c r="O202" s="252"/>
      <c r="P202" s="252"/>
      <c r="T202" s="156">
        <v>0.73</v>
      </c>
    </row>
    <row r="203" spans="14:20" x14ac:dyDescent="0.3">
      <c r="N203" s="255"/>
      <c r="O203" s="252"/>
      <c r="P203" s="252"/>
      <c r="T203" s="156">
        <v>0.74</v>
      </c>
    </row>
    <row r="204" spans="14:20" x14ac:dyDescent="0.3">
      <c r="N204" s="255"/>
      <c r="O204" s="252"/>
      <c r="P204" s="252"/>
      <c r="T204" s="156">
        <v>0.75</v>
      </c>
    </row>
    <row r="205" spans="14:20" x14ac:dyDescent="0.3">
      <c r="N205" s="255"/>
      <c r="O205" s="252"/>
      <c r="P205" s="252"/>
      <c r="T205" s="156">
        <v>0.76</v>
      </c>
    </row>
    <row r="206" spans="14:20" x14ac:dyDescent="0.3">
      <c r="N206" s="255"/>
      <c r="T206" s="156">
        <v>0.77</v>
      </c>
    </row>
    <row r="207" spans="14:20" x14ac:dyDescent="0.3">
      <c r="N207" s="255"/>
      <c r="T207" s="156">
        <v>0.78</v>
      </c>
    </row>
    <row r="208" spans="14:20" x14ac:dyDescent="0.3">
      <c r="N208" s="253"/>
      <c r="T208" s="156">
        <v>0.79</v>
      </c>
    </row>
    <row r="209" spans="14:20" x14ac:dyDescent="0.3">
      <c r="N209" s="253"/>
      <c r="T209" s="156">
        <v>0.8</v>
      </c>
    </row>
    <row r="210" spans="14:20" x14ac:dyDescent="0.3">
      <c r="N210" s="253"/>
      <c r="T210" s="156">
        <v>0.81</v>
      </c>
    </row>
    <row r="211" spans="14:20" x14ac:dyDescent="0.3">
      <c r="N211" s="253"/>
      <c r="T211" s="156">
        <v>0.82</v>
      </c>
    </row>
    <row r="212" spans="14:20" x14ac:dyDescent="0.3">
      <c r="N212" s="253"/>
      <c r="T212" s="156">
        <v>0.83</v>
      </c>
    </row>
    <row r="213" spans="14:20" x14ac:dyDescent="0.3">
      <c r="N213" s="253"/>
      <c r="T213" s="156">
        <v>0.84</v>
      </c>
    </row>
    <row r="214" spans="14:20" x14ac:dyDescent="0.3">
      <c r="N214" s="253"/>
      <c r="T214" s="156">
        <v>0.85</v>
      </c>
    </row>
    <row r="215" spans="14:20" x14ac:dyDescent="0.3">
      <c r="N215" s="253"/>
      <c r="T215" s="156">
        <v>0.86</v>
      </c>
    </row>
    <row r="216" spans="14:20" x14ac:dyDescent="0.3">
      <c r="N216" s="253"/>
      <c r="T216" s="156">
        <v>0.87</v>
      </c>
    </row>
    <row r="217" spans="14:20" x14ac:dyDescent="0.3">
      <c r="N217" s="253"/>
      <c r="T217" s="156">
        <v>0.88</v>
      </c>
    </row>
    <row r="218" spans="14:20" x14ac:dyDescent="0.3">
      <c r="N218" s="253"/>
      <c r="T218" s="156">
        <v>0.89</v>
      </c>
    </row>
    <row r="219" spans="14:20" x14ac:dyDescent="0.3">
      <c r="N219" s="253"/>
      <c r="T219" s="156">
        <v>0.9</v>
      </c>
    </row>
    <row r="220" spans="14:20" x14ac:dyDescent="0.3">
      <c r="N220" s="253"/>
      <c r="T220" s="156">
        <v>0.91</v>
      </c>
    </row>
    <row r="221" spans="14:20" x14ac:dyDescent="0.3">
      <c r="N221" s="253"/>
      <c r="T221" s="156">
        <v>0.92</v>
      </c>
    </row>
    <row r="222" spans="14:20" x14ac:dyDescent="0.3">
      <c r="N222" s="253"/>
      <c r="T222" s="156">
        <v>0.93</v>
      </c>
    </row>
    <row r="223" spans="14:20" x14ac:dyDescent="0.3">
      <c r="N223" s="253"/>
      <c r="T223" s="156">
        <v>0.94</v>
      </c>
    </row>
    <row r="224" spans="14:20" x14ac:dyDescent="0.3">
      <c r="N224" s="253"/>
      <c r="T224" s="156">
        <v>0.95</v>
      </c>
    </row>
    <row r="225" spans="14:20" x14ac:dyDescent="0.3">
      <c r="N225" s="253"/>
      <c r="T225" s="156">
        <v>0.96</v>
      </c>
    </row>
    <row r="226" spans="14:20" x14ac:dyDescent="0.3">
      <c r="N226" s="253"/>
      <c r="T226" s="156">
        <v>0.97</v>
      </c>
    </row>
    <row r="227" spans="14:20" x14ac:dyDescent="0.3">
      <c r="N227" s="253"/>
      <c r="T227" s="156">
        <v>0.98</v>
      </c>
    </row>
    <row r="228" spans="14:20" x14ac:dyDescent="0.3">
      <c r="N228" s="253"/>
      <c r="T228" s="156">
        <v>0.99</v>
      </c>
    </row>
    <row r="229" spans="14:20" x14ac:dyDescent="0.3">
      <c r="N229" s="253"/>
      <c r="T229" s="156">
        <v>1</v>
      </c>
    </row>
    <row r="230" spans="14:20" x14ac:dyDescent="0.3">
      <c r="N230" s="253"/>
    </row>
    <row r="231" spans="14:20" x14ac:dyDescent="0.3">
      <c r="N231" s="253"/>
    </row>
    <row r="232" spans="14:20" x14ac:dyDescent="0.3">
      <c r="N232" s="253"/>
    </row>
    <row r="233" spans="14:20" x14ac:dyDescent="0.3">
      <c r="N233" s="253"/>
    </row>
    <row r="234" spans="14:20" x14ac:dyDescent="0.3">
      <c r="N234" s="253"/>
    </row>
    <row r="235" spans="14:20" x14ac:dyDescent="0.3">
      <c r="N235" s="253"/>
    </row>
    <row r="236" spans="14:20" x14ac:dyDescent="0.3">
      <c r="N236" s="253"/>
    </row>
    <row r="237" spans="14:20" x14ac:dyDescent="0.3">
      <c r="N237" s="253"/>
    </row>
    <row r="238" spans="14:20" x14ac:dyDescent="0.3">
      <c r="N238" s="253"/>
    </row>
    <row r="239" spans="14:20" x14ac:dyDescent="0.3">
      <c r="N239" s="253"/>
    </row>
    <row r="240" spans="14:20" x14ac:dyDescent="0.3">
      <c r="N240" s="253"/>
    </row>
    <row r="241" spans="14:14" x14ac:dyDescent="0.3">
      <c r="N241" s="253"/>
    </row>
    <row r="242" spans="14:14" x14ac:dyDescent="0.3">
      <c r="N242" s="253"/>
    </row>
    <row r="243" spans="14:14" x14ac:dyDescent="0.3">
      <c r="N243" s="253"/>
    </row>
    <row r="244" spans="14:14" x14ac:dyDescent="0.3">
      <c r="N244" s="253"/>
    </row>
    <row r="245" spans="14:14" x14ac:dyDescent="0.3">
      <c r="N245" s="253"/>
    </row>
    <row r="246" spans="14:14" x14ac:dyDescent="0.3">
      <c r="N246" s="253"/>
    </row>
    <row r="247" spans="14:14" x14ac:dyDescent="0.3">
      <c r="N247" s="253"/>
    </row>
    <row r="248" spans="14:14" x14ac:dyDescent="0.3">
      <c r="N248" s="253"/>
    </row>
    <row r="249" spans="14:14" x14ac:dyDescent="0.3">
      <c r="N249" s="253"/>
    </row>
    <row r="250" spans="14:14" x14ac:dyDescent="0.3">
      <c r="N250" s="253"/>
    </row>
    <row r="251" spans="14:14" x14ac:dyDescent="0.3">
      <c r="N251" s="253"/>
    </row>
    <row r="252" spans="14:14" x14ac:dyDescent="0.3">
      <c r="N252" s="253"/>
    </row>
    <row r="253" spans="14:14" x14ac:dyDescent="0.3">
      <c r="N253" s="253"/>
    </row>
    <row r="254" spans="14:14" x14ac:dyDescent="0.3">
      <c r="N254" s="253"/>
    </row>
    <row r="255" spans="14:14" x14ac:dyDescent="0.3">
      <c r="N255" s="253"/>
    </row>
  </sheetData>
  <sheetProtection algorithmName="SHA-512" hashValue="Y4V20zhVG/ZdcPM1wHp5358pOcLe1n2A+03e/+5mH9yWaDY3Rp/HPRMCDI8f8nkDZ9j4CqVH9zVwPs9KcA4tVA==" saltValue="Hhm6AWJHibP2OXKmAZW5vA==" spinCount="100000" sheet="1" objects="1" scenarios="1"/>
  <mergeCells count="20">
    <mergeCell ref="H72:M74"/>
    <mergeCell ref="B28:B29"/>
    <mergeCell ref="B31:B32"/>
    <mergeCell ref="B34:B35"/>
    <mergeCell ref="J8:M12"/>
    <mergeCell ref="H31:M33"/>
    <mergeCell ref="C13:D13"/>
    <mergeCell ref="H15:O16"/>
    <mergeCell ref="C16:E16"/>
    <mergeCell ref="C17:E17"/>
    <mergeCell ref="C10:D10"/>
    <mergeCell ref="C6:D6"/>
    <mergeCell ref="C8:D8"/>
    <mergeCell ref="H56:M59"/>
    <mergeCell ref="H34:M37"/>
    <mergeCell ref="H25:M27"/>
    <mergeCell ref="C18:E18"/>
    <mergeCell ref="H18:O18"/>
    <mergeCell ref="H19:O19"/>
    <mergeCell ref="C19:E19"/>
  </mergeCells>
  <phoneticPr fontId="6" type="noConversion"/>
  <conditionalFormatting sqref="B39:B44 B46:B47 C47:D47">
    <cfRule type="expression" dxfId="504" priority="507" stopIfTrue="1">
      <formula>E39="n/a"</formula>
    </cfRule>
  </conditionalFormatting>
  <conditionalFormatting sqref="B49:B52">
    <cfRule type="expression" dxfId="503" priority="582" stopIfTrue="1">
      <formula>E49="n/a"</formula>
    </cfRule>
  </conditionalFormatting>
  <conditionalFormatting sqref="B52">
    <cfRule type="expression" dxfId="502" priority="583" stopIfTrue="1">
      <formula>$F$18="No"</formula>
    </cfRule>
  </conditionalFormatting>
  <conditionalFormatting sqref="B53:B54 D53:D54 F53:G54">
    <cfRule type="expression" dxfId="501" priority="11" stopIfTrue="1">
      <formula>$F$18="no"</formula>
    </cfRule>
  </conditionalFormatting>
  <conditionalFormatting sqref="B85">
    <cfRule type="expression" dxfId="500" priority="1782" stopIfTrue="1">
      <formula>$G$82=$S$131</formula>
    </cfRule>
  </conditionalFormatting>
  <conditionalFormatting sqref="B49:D51">
    <cfRule type="expression" dxfId="499" priority="595" stopIfTrue="1">
      <formula>$F$18="no"</formula>
    </cfRule>
  </conditionalFormatting>
  <conditionalFormatting sqref="B85:G85">
    <cfRule type="expression" dxfId="498" priority="41" stopIfTrue="1">
      <formula>OR($G$80=$Q$132,$G$80=$Q$131,$G$80=$Q$129,$G$82=$S$129)</formula>
    </cfRule>
  </conditionalFormatting>
  <conditionalFormatting sqref="C39:C44 C46 N46:N47 G47">
    <cfRule type="expression" dxfId="497" priority="508" stopIfTrue="1">
      <formula>E39="n/a"</formula>
    </cfRule>
  </conditionalFormatting>
  <conditionalFormatting sqref="C49:C54">
    <cfRule type="expression" dxfId="496" priority="586" stopIfTrue="1">
      <formula>E49="n/a"</formula>
    </cfRule>
  </conditionalFormatting>
  <conditionalFormatting sqref="C52">
    <cfRule type="expression" dxfId="495" priority="587" stopIfTrue="1">
      <formula>$F$18="No"</formula>
    </cfRule>
  </conditionalFormatting>
  <conditionalFormatting sqref="C64">
    <cfRule type="expression" dxfId="494" priority="1809" stopIfTrue="1">
      <formula>(OR($G$61=$Q$132,$G$61=$Q$131,$G$61=$Q$129))</formula>
    </cfRule>
  </conditionalFormatting>
  <conditionalFormatting sqref="C68 D68:E69">
    <cfRule type="expression" dxfId="493" priority="1811" stopIfTrue="1">
      <formula>$F$18=$Q$131</formula>
    </cfRule>
  </conditionalFormatting>
  <conditionalFormatting sqref="C69">
    <cfRule type="expression" dxfId="492" priority="225" stopIfTrue="1">
      <formula>$F$18=$Q$131</formula>
    </cfRule>
  </conditionalFormatting>
  <conditionalFormatting sqref="C65:E71">
    <cfRule type="expression" dxfId="491" priority="16" stopIfTrue="1">
      <formula>(OR($G$61=$Q$132,$G$61=$Q$131,$G$61=$Q$129))</formula>
    </cfRule>
  </conditionalFormatting>
  <conditionalFormatting sqref="C28:G28 B28:B29 C29:D29 C31:G31 B31:B32 C32:D32 C34:G34 B34:B35 C35">
    <cfRule type="expression" dxfId="490" priority="2517" stopIfTrue="1">
      <formula>$B$24=$R$131</formula>
    </cfRule>
  </conditionalFormatting>
  <conditionalFormatting sqref="C85:G85">
    <cfRule type="expression" dxfId="489" priority="35" stopIfTrue="1">
      <formula>$G$82=$S$131</formula>
    </cfRule>
  </conditionalFormatting>
  <conditionalFormatting sqref="D35">
    <cfRule type="expression" dxfId="488" priority="2510" stopIfTrue="1">
      <formula>OR($D$34=$P$131,$D$34=$P$129)</formula>
    </cfRule>
  </conditionalFormatting>
  <conditionalFormatting sqref="D39:D44 D46">
    <cfRule type="expression" dxfId="487" priority="509" stopIfTrue="1">
      <formula>E39="n/a"</formula>
    </cfRule>
  </conditionalFormatting>
  <conditionalFormatting sqref="D49:D51">
    <cfRule type="expression" dxfId="486" priority="594" stopIfTrue="1">
      <formula>G49="n/a"</formula>
    </cfRule>
  </conditionalFormatting>
  <conditionalFormatting sqref="D52">
    <cfRule type="expression" dxfId="485" priority="588" stopIfTrue="1">
      <formula>E52="n/a"</formula>
    </cfRule>
    <cfRule type="expression" dxfId="484" priority="589" stopIfTrue="1">
      <formula>$F$18="No"</formula>
    </cfRule>
  </conditionalFormatting>
  <conditionalFormatting sqref="D64">
    <cfRule type="expression" dxfId="483" priority="1836" stopIfTrue="1">
      <formula>(OR($G$61=$Q$132,$G$61=$Q$131,$G$61=$Q$129))</formula>
    </cfRule>
  </conditionalFormatting>
  <conditionalFormatting sqref="D97">
    <cfRule type="expression" dxfId="482" priority="2550" stopIfTrue="1">
      <formula>B24=R131</formula>
    </cfRule>
    <cfRule type="expression" dxfId="481" priority="2551" stopIfTrue="1">
      <formula>AND((OR($G$80=$Q$131,$G$80=$Q$132,$G$80=$Q$129)),(OR($G$61=$Q$131,$G$61=$Q$132,$G$61=$Q$129)))</formula>
    </cfRule>
  </conditionalFormatting>
  <conditionalFormatting sqref="D64:E64 C73:G73">
    <cfRule type="expression" dxfId="480" priority="160" stopIfTrue="1">
      <formula>(OR($G$61=$Q$132,$G$61=$Q$131,$G$61=$Q$129))</formula>
    </cfRule>
  </conditionalFormatting>
  <conditionalFormatting sqref="D96:G96">
    <cfRule type="expression" dxfId="479" priority="68" stopIfTrue="1">
      <formula>AND((OR($G$80=$Q$131,$G$80=$Q$132,$G$80=$Q$129)),(OR($G$61=$Q$131,$G$61=$Q$132,$G$61=$Q$129)))</formula>
    </cfRule>
  </conditionalFormatting>
  <conditionalFormatting sqref="E39:E44 E46:E47">
    <cfRule type="expression" dxfId="478" priority="578" stopIfTrue="1">
      <formula>E39="n/a"</formula>
    </cfRule>
  </conditionalFormatting>
  <conditionalFormatting sqref="E49:E51">
    <cfRule type="expression" dxfId="477" priority="730" stopIfTrue="1">
      <formula>#REF!="n/a"</formula>
    </cfRule>
    <cfRule type="expression" dxfId="476" priority="731" stopIfTrue="1">
      <formula>$F$18="no"</formula>
    </cfRule>
  </conditionalFormatting>
  <conditionalFormatting sqref="E52">
    <cfRule type="expression" dxfId="475" priority="637" stopIfTrue="1">
      <formula>E52="n/a"</formula>
    </cfRule>
    <cfRule type="expression" dxfId="474" priority="638" stopIfTrue="1">
      <formula>$F$18="No"</formula>
    </cfRule>
  </conditionalFormatting>
  <conditionalFormatting sqref="E53:E54">
    <cfRule type="expression" dxfId="473" priority="13" stopIfTrue="1">
      <formula>$F$18="No"</formula>
    </cfRule>
  </conditionalFormatting>
  <conditionalFormatting sqref="E97">
    <cfRule type="expression" dxfId="472" priority="2553" stopIfTrue="1">
      <formula>AND((OR($G$80=$Q$131,$G$80=$Q$132,$G$80=$Q$129)),(OR($G$61=$Q$131,$G$61=$Q$132,$G$61=$Q$129)))</formula>
    </cfRule>
    <cfRule type="expression" dxfId="471" priority="2552" stopIfTrue="1">
      <formula>B24=R131</formula>
    </cfRule>
  </conditionalFormatting>
  <conditionalFormatting sqref="F39:F44 F46:F47 R46:R47">
    <cfRule type="expression" dxfId="470" priority="511" stopIfTrue="1">
      <formula>E39="n/a"</formula>
    </cfRule>
  </conditionalFormatting>
  <conditionalFormatting sqref="F49:F52">
    <cfRule type="expression" dxfId="469" priority="590" stopIfTrue="1">
      <formula>E49="n/a"</formula>
    </cfRule>
  </conditionalFormatting>
  <conditionalFormatting sqref="F52">
    <cfRule type="expression" dxfId="468" priority="591" stopIfTrue="1">
      <formula>$F$18="No"</formula>
    </cfRule>
  </conditionalFormatting>
  <conditionalFormatting sqref="F64:F67 F70:F71">
    <cfRule type="expression" dxfId="467" priority="1837" stopIfTrue="1">
      <formula>E64=$Q$131</formula>
    </cfRule>
  </conditionalFormatting>
  <conditionalFormatting sqref="F64:F67 F70:G71">
    <cfRule type="expression" dxfId="466" priority="1838" stopIfTrue="1">
      <formula>(OR($G$61=$Q$132,$G$61=$Q$131,$G$61=$Q$129))</formula>
    </cfRule>
  </conditionalFormatting>
  <conditionalFormatting sqref="F68">
    <cfRule type="expression" dxfId="465" priority="2530" stopIfTrue="1">
      <formula>E68=$Q$131</formula>
    </cfRule>
  </conditionalFormatting>
  <conditionalFormatting sqref="F68:F69">
    <cfRule type="expression" dxfId="464" priority="2529" stopIfTrue="1">
      <formula>(OR($G$61=$Q$132,$G$61=$Q$131,$G$61=$Q$129))</formula>
    </cfRule>
  </conditionalFormatting>
  <conditionalFormatting sqref="F69">
    <cfRule type="expression" dxfId="463" priority="2538" stopIfTrue="1">
      <formula>$F$18=$Q$131</formula>
    </cfRule>
    <cfRule type="expression" dxfId="462" priority="2537" stopIfTrue="1">
      <formula>E67=$Q$131</formula>
    </cfRule>
  </conditionalFormatting>
  <conditionalFormatting sqref="F88">
    <cfRule type="expression" dxfId="461" priority="44" stopIfTrue="1">
      <formula>OR($G$80=$Q$132,$G$80=$Q$131,$G$82=$S$129)</formula>
    </cfRule>
    <cfRule type="expression" dxfId="460" priority="43" stopIfTrue="1">
      <formula>$G$82=$S$130</formula>
    </cfRule>
    <cfRule type="expression" dxfId="459" priority="36" stopIfTrue="1">
      <formula>OR($G$80=$Q$132,$G$80=$Q$131,$G$80=$Q$129,$G$82=$S$129)</formula>
    </cfRule>
  </conditionalFormatting>
  <conditionalFormatting sqref="F96">
    <cfRule type="expression" dxfId="458" priority="540" stopIfTrue="1">
      <formula>$E$96=$Q$131</formula>
    </cfRule>
  </conditionalFormatting>
  <conditionalFormatting sqref="F97">
    <cfRule type="expression" dxfId="457" priority="2502" stopIfTrue="1">
      <formula>B24=R131</formula>
    </cfRule>
    <cfRule type="expression" dxfId="456" priority="2503" stopIfTrue="1">
      <formula>AND((OR($G$80=$Q$131,$G$80=$Q$132,$G$80=$Q$129)),(OR($G$61=$Q$131,$G$61=$Q$132,$G$61=$Q$129)))</formula>
    </cfRule>
    <cfRule type="expression" dxfId="455" priority="2504" stopIfTrue="1">
      <formula>$E$97=$Q$131</formula>
    </cfRule>
  </conditionalFormatting>
  <conditionalFormatting sqref="F49:G51 C53:C54">
    <cfRule type="expression" dxfId="454" priority="601" stopIfTrue="1">
      <formula>$F$18="no"</formula>
    </cfRule>
  </conditionalFormatting>
  <conditionalFormatting sqref="F68:G68">
    <cfRule type="expression" dxfId="453" priority="2528" stopIfTrue="1">
      <formula>$F$18=$Q$131</formula>
    </cfRule>
  </conditionalFormatting>
  <conditionalFormatting sqref="G16">
    <cfRule type="expression" dxfId="452" priority="2514" stopIfTrue="1">
      <formula>AND(OR($F$16=$Q$131,$F$16=$Q$129),$G$16&gt;0)</formula>
    </cfRule>
    <cfRule type="expression" dxfId="451" priority="2513" stopIfTrue="1">
      <formula>$F$16=$Q$130</formula>
    </cfRule>
  </conditionalFormatting>
  <conditionalFormatting sqref="G17">
    <cfRule type="expression" dxfId="450" priority="2512" stopIfTrue="1">
      <formula>AND(OR($F$17=$Q$131,$F$17=$Q$129),$G$17&gt;0)</formula>
    </cfRule>
    <cfRule type="expression" dxfId="449" priority="2511" stopIfTrue="1">
      <formula>$F$17=$Q$130</formula>
    </cfRule>
  </conditionalFormatting>
  <conditionalFormatting sqref="G18">
    <cfRule type="expression" dxfId="448" priority="2515" stopIfTrue="1">
      <formula>$F$18=$Q$130</formula>
    </cfRule>
    <cfRule type="expression" dxfId="447" priority="2516" stopIfTrue="1">
      <formula>AND(OR($F$18=$Q$131,$F$18=$Q$129),$G$18&gt;0)</formula>
    </cfRule>
  </conditionalFormatting>
  <conditionalFormatting sqref="G39:G44 G46">
    <cfRule type="expression" dxfId="446" priority="510" stopIfTrue="1">
      <formula>E39="n/a"</formula>
    </cfRule>
  </conditionalFormatting>
  <conditionalFormatting sqref="G49:G51">
    <cfRule type="expression" dxfId="445" priority="600" stopIfTrue="1">
      <formula>I49="n/a"</formula>
    </cfRule>
  </conditionalFormatting>
  <conditionalFormatting sqref="G52">
    <cfRule type="expression" dxfId="444" priority="592" stopIfTrue="1">
      <formula>E52="n/a"</formula>
    </cfRule>
    <cfRule type="expression" dxfId="443" priority="593" stopIfTrue="1">
      <formula>$F$18="No"</formula>
    </cfRule>
  </conditionalFormatting>
  <conditionalFormatting sqref="G64:G67 G70:G71">
    <cfRule type="expression" dxfId="442" priority="1851" stopIfTrue="1">
      <formula>E64=$Q$131</formula>
    </cfRule>
  </conditionalFormatting>
  <conditionalFormatting sqref="G64:G68">
    <cfRule type="expression" dxfId="441" priority="1850" stopIfTrue="1">
      <formula>(OR($G$61=$Q$132,$G$61=$Q$131,$G$61=$Q$129))</formula>
    </cfRule>
  </conditionalFormatting>
  <conditionalFormatting sqref="G68">
    <cfRule type="expression" dxfId="440" priority="2535" stopIfTrue="1">
      <formula>E68=$Q$131</formula>
    </cfRule>
  </conditionalFormatting>
  <conditionalFormatting sqref="G69">
    <cfRule type="expression" dxfId="439" priority="2539" stopIfTrue="1">
      <formula>E67=$Q$131</formula>
    </cfRule>
    <cfRule type="expression" dxfId="438" priority="2540" stopIfTrue="1">
      <formula>$F$18=$Q$131</formula>
    </cfRule>
    <cfRule type="expression" dxfId="437" priority="2541" stopIfTrue="1">
      <formula>(OR($G$61=$Q$132,$G$61=$Q$131,$G$61=$Q$129))</formula>
    </cfRule>
  </conditionalFormatting>
  <conditionalFormatting sqref="G82">
    <cfRule type="expression" dxfId="436" priority="1783" stopIfTrue="1">
      <formula>OR($G$80=$Q$132,$G$80=$Q$131,$G$80=$Q$129)</formula>
    </cfRule>
  </conditionalFormatting>
  <conditionalFormatting sqref="G88">
    <cfRule type="expression" dxfId="435" priority="1780" stopIfTrue="1">
      <formula>OR($G$80=$Q$132,$G$80=$Q$131,$G$82=$S$129)</formula>
    </cfRule>
    <cfRule type="expression" dxfId="434" priority="1781" stopIfTrue="1">
      <formula>$G$82=$S$130</formula>
    </cfRule>
    <cfRule type="expression" dxfId="433" priority="1798" stopIfTrue="1">
      <formula>OR($G$80=$Q$132,$G$80=$Q$131,$G$80=$Q$129,$G$82=$S$129)</formula>
    </cfRule>
  </conditionalFormatting>
  <conditionalFormatting sqref="G93 G99 D101:G101 D104:F104 G109">
    <cfRule type="expression" dxfId="432" priority="72" stopIfTrue="1">
      <formula>AND((OR($G$80=$Q$131,$G$80=$Q$132,$G$80=$Q$129)),(OR($G$61=$Q$131,$G$61=$Q$132,$G$61=$Q$129)))</formula>
    </cfRule>
  </conditionalFormatting>
  <conditionalFormatting sqref="G96">
    <cfRule type="expression" dxfId="431" priority="51" stopIfTrue="1">
      <formula>$E$96=$Q$131</formula>
    </cfRule>
  </conditionalFormatting>
  <conditionalFormatting sqref="G97">
    <cfRule type="expression" dxfId="430" priority="2542" stopIfTrue="1">
      <formula>B24=R131</formula>
    </cfRule>
    <cfRule type="expression" dxfId="429" priority="2543" stopIfTrue="1">
      <formula>AND((OR($G$80=$Q$131,$G$80=$Q$132,$G$80=$Q$129)),(OR($G$61=$Q$131,$G$61=$Q$132,$G$61=$Q$129)))</formula>
    </cfRule>
    <cfRule type="expression" dxfId="428" priority="2544" stopIfTrue="1">
      <formula>$E$97=$Q$131</formula>
    </cfRule>
  </conditionalFormatting>
  <conditionalFormatting sqref="G103">
    <cfRule type="expression" dxfId="427" priority="58" stopIfTrue="1">
      <formula>AND((OR($G$80=$Q$131,$G$80=$Q$132,$G$80=$Q$129)),(OR($G$61=$Q$131,$G$61=$Q$132,$G$61=$Q$129)))</formula>
    </cfRule>
    <cfRule type="expression" dxfId="426" priority="1729" stopIfTrue="1">
      <formula>OR($G$101=$Q$129,$G$101=$Q$129)</formula>
    </cfRule>
    <cfRule type="expression" dxfId="425" priority="1730" stopIfTrue="1">
      <formula>AND((OR($G$80=$Q$131,$G$80=$Q$132,$G$80=$Q$129)),(OR($G$61=$Q$131,$G$61=$Q$132,$G$61=$Q$129)))</formula>
    </cfRule>
  </conditionalFormatting>
  <conditionalFormatting sqref="G104">
    <cfRule type="expression" dxfId="424" priority="1728" stopIfTrue="1">
      <formula>AND((OR($G$80=$Q$131,$G$80=$Q$132)),(OR($G$61=$Q$131,$G$61=$Q$132)))</formula>
    </cfRule>
    <cfRule type="expression" dxfId="423" priority="1726" stopIfTrue="1">
      <formula>OR($G$101=$Q$131,$G$101=$Q$129)</formula>
    </cfRule>
    <cfRule type="expression" dxfId="422" priority="1727" stopIfTrue="1">
      <formula>$G$103=0</formula>
    </cfRule>
  </conditionalFormatting>
  <conditionalFormatting sqref="G106">
    <cfRule type="expression" dxfId="421" priority="53" stopIfTrue="1">
      <formula>AND((OR($G$80=$Q$131,$G$80=$Q$132,$G$80=$Q$129)),(OR($G$61=$Q$131,$G$61=$Q$132,$G$61=$Q$129)))</formula>
    </cfRule>
    <cfRule type="expression" dxfId="420" priority="50" stopIfTrue="1">
      <formula>OR($G$101=$Q$129,$G$101=$Q$129)</formula>
    </cfRule>
    <cfRule type="expression" dxfId="419" priority="49" stopIfTrue="1">
      <formula>AND((OR($G$80=$Q$131,$G$80=$Q$132,$G$80=$Q$129)),(OR($G$61=$Q$131,$G$61=$Q$132,$G$61=$Q$129)))</formula>
    </cfRule>
  </conditionalFormatting>
  <dataValidations xWindow="847" yWindow="621" count="22">
    <dataValidation type="list" operator="lessThanOrEqual" allowBlank="1" showInputMessage="1" showErrorMessage="1" sqref="G104" xr:uid="{00000000-0002-0000-0600-000000000000}">
      <formula1>$T$129:$T$229</formula1>
    </dataValidation>
    <dataValidation type="list" showInputMessage="1" showErrorMessage="1" sqref="G101 F16:F19" xr:uid="{00000000-0002-0000-0600-000001000000}">
      <formula1>$Q$129:$Q$131</formula1>
    </dataValidation>
    <dataValidation type="list" showInputMessage="1" showErrorMessage="1" sqref="E96:E97 E64:E68 E70" xr:uid="{00000000-0002-0000-0600-000002000000}">
      <formula1>$Q$130:$Q$131</formula1>
    </dataValidation>
    <dataValidation type="list" allowBlank="1" showInputMessage="1" showErrorMessage="1" sqref="F70:F71" xr:uid="{00000000-0002-0000-0600-000003000000}">
      <formula1>$Y$132:$Y$255</formula1>
    </dataValidation>
    <dataValidation allowBlank="1" showInputMessage="1" showErrorMessage="1" prompt="Insert the daily rainfall collected (and therefore used) in litres determined in accordance with BS8515 'Detailed Approach&quot;." sqref="F88" xr:uid="{00000000-0002-0000-0600-000004000000}"/>
    <dataValidation type="list" showInputMessage="1" showErrorMessage="1" sqref="G82" xr:uid="{00000000-0002-0000-0600-000005000000}">
      <formula1>$S$129:$S$131</formula1>
    </dataValidation>
    <dataValidation type="list" showInputMessage="1" showErrorMessage="1" sqref="G80 G61" xr:uid="{00000000-0002-0000-0600-000006000000}">
      <formula1>$Q$129:$Q$132</formula1>
    </dataValidation>
    <dataValidation allowBlank="1" showInputMessage="1" showErrorMessage="1" prompt="If frequency of yield occurs every day, then state 1, if every 5 days then state 5 etc." sqref="E73" xr:uid="{00000000-0002-0000-0600-000007000000}"/>
    <dataValidation type="list" showInputMessage="1" showErrorMessage="1" prompt="Only include greywater collected from the dishwasher for other uses e.g. toilet flushing/irrigation. Water re-used within the dishwasher i.e. final rinse water used for the pre-wash of the next load should not be counted within this calculation." sqref="E69" xr:uid="{00000000-0002-0000-0600-000008000000}">
      <formula1>$Q$130:$Q$131</formula1>
    </dataValidation>
    <dataValidation type="list" showInputMessage="1" showErrorMessage="1" prompt="Only include greywater collected from the washing machine for other uses e.g. toilet flushing/irrigation. Water re-used within the washing machine i.e. final rinse water used for the pre-wash of the next load should not be counted within this calculation." sqref="E71" xr:uid="{00000000-0002-0000-0600-000009000000}">
      <formula1>$Q$130:$Q$131</formula1>
    </dataValidation>
    <dataValidation type="list" allowBlank="1" showInputMessage="1" showErrorMessage="1" sqref="F96:F97 F64:F69" xr:uid="{00000000-0002-0000-0600-00000A000000}">
      <formula1>$T$129:$T$229</formula1>
    </dataValidation>
    <dataValidation type="list" allowBlank="1" showInputMessage="1" showErrorMessage="1" sqref="D34" xr:uid="{00000000-0002-0000-0600-00000B000000}">
      <formula1>$P$129:$P$131</formula1>
    </dataValidation>
    <dataValidation type="list" showInputMessage="1" showErrorMessage="1" sqref="B24" xr:uid="{00000000-0002-0000-0600-00000C000000}">
      <formula1>$R$129:$R$131</formula1>
    </dataValidation>
    <dataValidation allowBlank="1" showInputMessage="1" showErrorMessage="1" prompt="Enter the relevant specification._x000a__x000a_Important: If component is not specified, leave cell blank i.e. empty of figure." sqref="D39:D43 D49:D51 D46:D47" xr:uid="{00000000-0002-0000-0600-00000D000000}"/>
    <dataValidation allowBlank="1" showInputMessage="1" showErrorMessage="1" prompt="Enter the total number of urinal's in the building that are classed as waterless urinals." sqref="D35" xr:uid="{00000000-0002-0000-0600-00000E000000}"/>
    <dataValidation allowBlank="1" showInputMessage="1" showErrorMessage="1" prompt="Enter the total number of urinal's in the building that use this type of flushing control." sqref="D32" xr:uid="{00000000-0002-0000-0600-00000F000000}"/>
    <dataValidation allowBlank="1" showInputMessage="1" showErrorMessage="1" prompt="Enter the total number of urinal's in the building that use this type of flushing control_x000a__x000a_Where a urinal slab is specified, use a default of one urinal for each 700mm width of urinal slab." sqref="D29" xr:uid="{00000000-0002-0000-0600-000010000000}"/>
    <dataValidation allowBlank="1" showInputMessage="1" showErrorMessage="1" prompt="Enter the capacity (in litres) of the cistern specified for supplying water for urinal flushing purposes._x000a__x000a_Important: If component is not specified, leave cell blank i.e. empty of figure." sqref="D28" xr:uid="{00000000-0002-0000-0600-000011000000}"/>
    <dataValidation allowBlank="1" showInputMessage="1" showErrorMessage="1" prompt="Enter the total number of cisterns specified (at specifed capacity) in building." sqref="E28" xr:uid="{00000000-0002-0000-0600-000012000000}"/>
    <dataValidation allowBlank="1" showInputMessage="1" showErrorMessage="1" prompt="Enter the effective flush volume for the WCs specified._x000a__x000a_Important: If component is not specified, leave cell blank i.e. empty of figure._x000a__x000a_Refer to the technical guide for a definition oof effective flush volume and how to calculate it." sqref="D24:D25" xr:uid="{00000000-0002-0000-0600-000013000000}"/>
    <dataValidation allowBlank="1" showInputMessage="1" showErrorMessage="1" prompt="Enter the litres per flush per bowl._x000a__x000a_Important: If component is not specified, leave cell blank i.e. empty of figure." sqref="D31" xr:uid="{00000000-0002-0000-0600-000014000000}"/>
    <dataValidation type="list" allowBlank="1" showInputMessage="1" showErrorMessage="1" sqref="C10:D10" xr:uid="{00000000-0002-0000-0600-000015000000}">
      <formula1>$U$129:$U$132</formula1>
    </dataValidation>
  </dataValidations>
  <pageMargins left="0.75" right="0.75" top="1" bottom="1" header="0.5" footer="0.5"/>
  <pageSetup paperSize="9" orientation="portrait" verticalDpi="598"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O285"/>
  <sheetViews>
    <sheetView zoomScale="85" zoomScaleNormal="85" workbookViewId="0">
      <pane ySplit="2" topLeftCell="A46" activePane="bottomLeft" state="frozen"/>
      <selection activeCell="M4" sqref="M4"/>
      <selection pane="bottomLeft" activeCell="C7" sqref="C7"/>
    </sheetView>
  </sheetViews>
  <sheetFormatPr defaultColWidth="9.1796875" defaultRowHeight="13" x14ac:dyDescent="0.3"/>
  <cols>
    <col min="1" max="1" width="5.453125" style="121" customWidth="1"/>
    <col min="2" max="2" width="51.54296875" style="121" customWidth="1"/>
    <col min="3" max="6" width="28.7265625" style="121" customWidth="1"/>
    <col min="7" max="7" width="28.7265625" style="161" customWidth="1"/>
    <col min="8" max="8" width="5.7265625" style="117" customWidth="1"/>
    <col min="9" max="9" width="10.453125" style="121" customWidth="1"/>
    <col min="10" max="10" width="42.453125" style="121" customWidth="1"/>
    <col min="11" max="11" width="31" style="121" customWidth="1"/>
    <col min="12" max="12" width="31" style="121" hidden="1" customWidth="1"/>
    <col min="13" max="14" width="32.26953125" style="121" hidden="1" customWidth="1"/>
    <col min="15" max="15" width="38.26953125" style="121" hidden="1" customWidth="1"/>
    <col min="16" max="16" width="29" style="121" hidden="1" customWidth="1"/>
    <col min="17" max="17" width="31.54296875" style="121" hidden="1" customWidth="1"/>
    <col min="18" max="21" width="29" style="121" hidden="1" customWidth="1"/>
    <col min="22" max="22" width="18.81640625" style="121" hidden="1" customWidth="1"/>
    <col min="23" max="23" width="18.7265625" style="121" hidden="1" customWidth="1"/>
    <col min="24" max="28" width="27.26953125" style="121" customWidth="1"/>
    <col min="29" max="29" width="27.26953125" style="117" customWidth="1"/>
    <col min="30" max="30" width="32.1796875" style="119" customWidth="1"/>
    <col min="31" max="32" width="16.54296875" style="117" customWidth="1"/>
    <col min="33" max="33" width="11.26953125" style="117" customWidth="1"/>
    <col min="34" max="40" width="9.1796875" style="117" customWidth="1"/>
    <col min="41" max="41" width="9.1796875" style="120" customWidth="1"/>
    <col min="42" max="42" width="9.1796875" style="117" customWidth="1"/>
    <col min="43" max="16384" width="9.1796875" style="117"/>
  </cols>
  <sheetData>
    <row r="1" spans="1:41" ht="13.15" customHeight="1" x14ac:dyDescent="0.3">
      <c r="A1" s="117"/>
      <c r="B1" s="117"/>
      <c r="C1" s="117"/>
      <c r="D1" s="117"/>
      <c r="E1" s="117"/>
      <c r="F1" s="117"/>
      <c r="G1" s="118"/>
      <c r="I1" s="117"/>
      <c r="J1" s="117"/>
      <c r="K1" s="117"/>
      <c r="L1" s="117"/>
      <c r="M1" s="117"/>
      <c r="N1" s="117"/>
      <c r="O1" s="117"/>
      <c r="P1" s="117"/>
      <c r="Q1" s="117"/>
      <c r="R1" s="117"/>
      <c r="S1" s="117"/>
      <c r="T1" s="117"/>
      <c r="U1" s="117"/>
      <c r="V1" s="117"/>
      <c r="W1" s="117"/>
      <c r="X1" s="117"/>
      <c r="Y1" s="117"/>
      <c r="Z1" s="117"/>
      <c r="AA1" s="117"/>
      <c r="AB1" s="117"/>
    </row>
    <row r="2" spans="1:41" ht="36" customHeight="1" x14ac:dyDescent="0.3">
      <c r="A2" s="117"/>
      <c r="B2" s="440" t="s">
        <v>826</v>
      </c>
      <c r="C2" s="416"/>
      <c r="D2" s="416"/>
      <c r="E2" s="416"/>
      <c r="F2" s="416"/>
      <c r="G2" s="416"/>
      <c r="I2" s="117"/>
      <c r="J2" s="117"/>
      <c r="K2" s="117"/>
      <c r="L2" s="117"/>
      <c r="M2" s="117"/>
      <c r="N2" s="117"/>
      <c r="O2" s="117"/>
      <c r="P2" s="117"/>
      <c r="Q2" s="117"/>
      <c r="R2" s="117"/>
      <c r="S2" s="117"/>
      <c r="T2" s="117"/>
      <c r="U2" s="117"/>
      <c r="V2" s="117"/>
      <c r="W2" s="117"/>
      <c r="X2" s="117"/>
      <c r="Y2" s="117"/>
      <c r="Z2" s="117"/>
      <c r="AA2" s="117"/>
      <c r="AB2" s="117"/>
    </row>
    <row r="3" spans="1:41" ht="15" customHeight="1" x14ac:dyDescent="0.3">
      <c r="A3" s="117"/>
      <c r="B3" s="117"/>
      <c r="C3" s="117"/>
      <c r="D3" s="117"/>
      <c r="E3" s="117"/>
      <c r="F3" s="117"/>
      <c r="G3" s="117"/>
      <c r="I3" s="117"/>
      <c r="J3" s="117"/>
      <c r="K3" s="117"/>
      <c r="L3" s="117"/>
      <c r="M3" s="117"/>
      <c r="N3" s="117"/>
      <c r="O3" s="117"/>
      <c r="P3" s="117"/>
      <c r="Q3" s="117"/>
      <c r="R3" s="117"/>
      <c r="S3" s="117"/>
      <c r="T3" s="117"/>
      <c r="U3" s="117"/>
      <c r="V3" s="117"/>
      <c r="W3" s="117"/>
      <c r="X3" s="117"/>
      <c r="Y3" s="117"/>
      <c r="Z3" s="117"/>
      <c r="AA3" s="117"/>
      <c r="AB3" s="117"/>
    </row>
    <row r="4" spans="1:41" ht="32.15" customHeight="1" x14ac:dyDescent="0.3">
      <c r="A4" s="87"/>
      <c r="B4" s="422" t="s">
        <v>689</v>
      </c>
      <c r="C4" s="422"/>
      <c r="D4" s="422"/>
      <c r="E4" s="422"/>
      <c r="F4" s="422"/>
      <c r="G4" s="422"/>
      <c r="I4" s="517" t="s">
        <v>690</v>
      </c>
      <c r="J4" s="517"/>
      <c r="K4" s="117"/>
      <c r="L4" s="117"/>
      <c r="M4" s="117"/>
      <c r="N4" s="117"/>
      <c r="O4" s="86"/>
      <c r="P4" s="86"/>
      <c r="Q4" s="86"/>
      <c r="R4" s="86"/>
      <c r="S4" s="86"/>
      <c r="T4" s="86"/>
      <c r="U4" s="86"/>
      <c r="V4" s="86"/>
      <c r="W4" s="86"/>
      <c r="X4" s="86"/>
      <c r="Y4" s="86"/>
      <c r="Z4" s="86"/>
      <c r="AA4" s="86"/>
      <c r="AB4" s="86"/>
      <c r="AC4" s="86"/>
      <c r="AD4" s="117"/>
      <c r="AO4" s="117"/>
    </row>
    <row r="5" spans="1:41" ht="15" customHeight="1" x14ac:dyDescent="0.3">
      <c r="A5" s="87"/>
      <c r="B5" s="268"/>
      <c r="C5" s="268"/>
      <c r="D5" s="87"/>
      <c r="E5" s="87"/>
      <c r="F5" s="87"/>
      <c r="G5" s="87"/>
      <c r="I5" s="211"/>
      <c r="J5" s="294" t="s">
        <v>691</v>
      </c>
      <c r="K5" s="117"/>
      <c r="L5" s="117"/>
      <c r="M5" s="117"/>
      <c r="N5" s="117"/>
      <c r="O5" s="86"/>
      <c r="P5" s="86"/>
      <c r="Q5" s="86"/>
      <c r="R5" s="86"/>
      <c r="S5" s="86"/>
      <c r="T5" s="86"/>
      <c r="U5" s="86"/>
      <c r="V5" s="86"/>
      <c r="W5" s="86"/>
      <c r="X5" s="86"/>
      <c r="Y5" s="86"/>
      <c r="Z5" s="86"/>
      <c r="AA5" s="86"/>
      <c r="AB5" s="86"/>
      <c r="AC5" s="86"/>
      <c r="AD5" s="86"/>
      <c r="AE5" s="86"/>
      <c r="AO5" s="117"/>
    </row>
    <row r="6" spans="1:41" ht="15" customHeight="1" x14ac:dyDescent="0.3">
      <c r="A6" s="87"/>
      <c r="B6" s="434" t="s">
        <v>692</v>
      </c>
      <c r="C6" s="540"/>
      <c r="D6" s="541"/>
      <c r="E6" s="468"/>
      <c r="F6" s="87"/>
      <c r="G6" s="87"/>
      <c r="I6" s="212"/>
      <c r="J6" s="294" t="s">
        <v>693</v>
      </c>
      <c r="K6" s="517"/>
      <c r="L6" s="517"/>
      <c r="M6" s="518"/>
      <c r="N6" s="86"/>
      <c r="O6" s="86"/>
      <c r="P6" s="86"/>
      <c r="Q6" s="86"/>
      <c r="R6" s="86"/>
      <c r="S6" s="86"/>
      <c r="T6" s="86"/>
      <c r="U6" s="86"/>
      <c r="V6" s="86"/>
      <c r="W6" s="86"/>
      <c r="X6" s="86"/>
      <c r="Y6" s="86"/>
      <c r="Z6" s="86"/>
      <c r="AA6" s="86"/>
      <c r="AB6" s="86"/>
      <c r="AC6" s="86"/>
      <c r="AD6" s="86"/>
      <c r="AO6" s="117"/>
    </row>
    <row r="7" spans="1:41" ht="15" customHeight="1" x14ac:dyDescent="0.3">
      <c r="A7" s="87"/>
      <c r="B7" s="87"/>
      <c r="C7" s="87"/>
      <c r="D7" s="87"/>
      <c r="E7" s="87"/>
      <c r="F7" s="87"/>
      <c r="G7" s="87"/>
      <c r="I7" s="213"/>
      <c r="J7" s="294" t="s">
        <v>694</v>
      </c>
      <c r="K7" s="518"/>
      <c r="L7" s="518"/>
      <c r="M7" s="117"/>
      <c r="N7" s="86"/>
      <c r="O7" s="86"/>
      <c r="P7" s="86"/>
      <c r="Q7" s="86"/>
      <c r="R7" s="86"/>
      <c r="S7" s="86"/>
      <c r="T7" s="86"/>
      <c r="U7" s="86"/>
      <c r="V7" s="86"/>
      <c r="W7" s="86"/>
      <c r="X7" s="86"/>
      <c r="Y7" s="86"/>
      <c r="Z7" s="86"/>
      <c r="AA7" s="86"/>
      <c r="AB7" s="86"/>
      <c r="AC7" s="86"/>
      <c r="AD7" s="86"/>
      <c r="AO7" s="117"/>
    </row>
    <row r="8" spans="1:41" ht="15" customHeight="1" x14ac:dyDescent="0.3">
      <c r="A8" s="87"/>
      <c r="B8" s="437" t="s">
        <v>695</v>
      </c>
      <c r="C8" s="542"/>
      <c r="D8" s="543"/>
      <c r="E8" s="470"/>
      <c r="F8" s="87"/>
      <c r="G8" s="87"/>
      <c r="I8" s="292" t="s">
        <v>696</v>
      </c>
      <c r="J8" s="294"/>
      <c r="K8" s="117"/>
      <c r="L8" s="117"/>
      <c r="M8" s="117"/>
      <c r="N8" s="86"/>
      <c r="O8" s="86"/>
      <c r="P8" s="86"/>
      <c r="Q8" s="86"/>
      <c r="R8" s="86"/>
      <c r="S8" s="86"/>
      <c r="T8" s="86"/>
      <c r="U8" s="86"/>
      <c r="V8" s="86"/>
      <c r="W8" s="86"/>
      <c r="X8" s="86"/>
      <c r="Y8" s="86"/>
      <c r="Z8" s="86"/>
      <c r="AA8" s="86"/>
      <c r="AB8" s="86"/>
      <c r="AC8" s="86"/>
      <c r="AD8" s="86"/>
      <c r="AO8" s="117"/>
    </row>
    <row r="9" spans="1:41" ht="15" customHeight="1" x14ac:dyDescent="0.3">
      <c r="A9" s="87"/>
      <c r="B9" s="87"/>
      <c r="C9" s="467"/>
      <c r="D9" s="468"/>
      <c r="E9" s="468"/>
      <c r="F9" s="87"/>
      <c r="G9" s="87"/>
      <c r="I9" s="469"/>
      <c r="J9" s="294"/>
      <c r="K9" s="117"/>
      <c r="L9" s="117"/>
      <c r="M9" s="117"/>
      <c r="N9" s="86"/>
      <c r="O9" s="86"/>
      <c r="P9" s="86"/>
      <c r="Q9" s="86"/>
      <c r="R9" s="86"/>
      <c r="S9" s="86"/>
      <c r="T9" s="86"/>
      <c r="U9" s="86"/>
      <c r="V9" s="86"/>
      <c r="W9" s="86"/>
      <c r="X9" s="86"/>
      <c r="Y9" s="86"/>
      <c r="Z9" s="86"/>
      <c r="AA9" s="86"/>
      <c r="AB9" s="86"/>
      <c r="AC9" s="86"/>
      <c r="AD9" s="86"/>
      <c r="AO9" s="117"/>
    </row>
    <row r="10" spans="1:41" ht="15" customHeight="1" x14ac:dyDescent="0.3">
      <c r="A10" s="87"/>
      <c r="B10" s="466" t="s">
        <v>698</v>
      </c>
      <c r="C10" s="559" t="s">
        <v>699</v>
      </c>
      <c r="D10" s="559"/>
      <c r="E10" s="470"/>
      <c r="F10" s="87"/>
      <c r="G10" s="87"/>
      <c r="I10" s="469"/>
      <c r="J10" s="294"/>
      <c r="K10" s="117"/>
      <c r="L10" s="117"/>
      <c r="M10" s="117"/>
      <c r="N10" s="86"/>
      <c r="O10" s="86"/>
      <c r="P10" s="86"/>
      <c r="Q10" s="86"/>
      <c r="R10" s="86"/>
      <c r="S10" s="86"/>
      <c r="T10" s="86"/>
      <c r="U10" s="86"/>
      <c r="V10" s="86"/>
      <c r="W10" s="86"/>
      <c r="X10" s="86"/>
      <c r="Y10" s="86"/>
      <c r="Z10" s="86"/>
      <c r="AA10" s="86"/>
      <c r="AB10" s="86"/>
      <c r="AC10" s="86"/>
      <c r="AD10" s="86"/>
      <c r="AO10" s="117"/>
    </row>
    <row r="11" spans="1:41" ht="15" customHeight="1" x14ac:dyDescent="0.3">
      <c r="A11" s="87"/>
      <c r="B11" s="109"/>
      <c r="C11" s="109"/>
      <c r="D11" s="87"/>
      <c r="E11" s="87"/>
      <c r="F11" s="87"/>
      <c r="G11" s="88"/>
      <c r="I11" s="87"/>
      <c r="J11" s="544"/>
      <c r="K11" s="544"/>
      <c r="L11" s="544"/>
      <c r="M11" s="544"/>
      <c r="N11" s="420"/>
      <c r="O11" s="117"/>
      <c r="P11" s="117"/>
      <c r="Q11" s="117"/>
      <c r="R11" s="117"/>
      <c r="S11" s="117"/>
      <c r="T11" s="117"/>
      <c r="U11" s="117"/>
      <c r="V11" s="117"/>
      <c r="W11" s="117"/>
      <c r="X11" s="117"/>
      <c r="Y11" s="117"/>
      <c r="Z11" s="117"/>
      <c r="AA11" s="117"/>
      <c r="AB11" s="117"/>
    </row>
    <row r="12" spans="1:41" ht="25" customHeight="1" x14ac:dyDescent="0.3">
      <c r="A12" s="87"/>
      <c r="B12" s="423" t="s">
        <v>700</v>
      </c>
      <c r="C12" s="567" t="s">
        <v>701</v>
      </c>
      <c r="D12" s="568"/>
      <c r="E12" s="569"/>
      <c r="F12" s="445" t="s">
        <v>703</v>
      </c>
      <c r="G12" s="444" t="s">
        <v>704</v>
      </c>
      <c r="I12" s="117"/>
      <c r="J12" s="544"/>
      <c r="K12" s="544"/>
      <c r="L12" s="544"/>
      <c r="M12" s="544"/>
      <c r="N12" s="463"/>
      <c r="O12" s="117"/>
      <c r="P12" s="117"/>
      <c r="Q12" s="117"/>
      <c r="R12" s="117"/>
      <c r="S12" s="117"/>
      <c r="T12" s="117"/>
      <c r="U12" s="117"/>
      <c r="V12" s="117"/>
      <c r="W12" s="117"/>
      <c r="X12" s="122"/>
      <c r="Y12" s="122"/>
      <c r="Z12" s="122"/>
      <c r="AA12" s="122"/>
      <c r="AB12" s="122"/>
      <c r="AC12" s="122"/>
      <c r="AD12" s="122"/>
    </row>
    <row r="13" spans="1:41" ht="42.75" customHeight="1" x14ac:dyDescent="0.3">
      <c r="A13" s="293" t="str">
        <f>IF(B13=$R$130,"&gt;","")</f>
        <v>&gt;</v>
      </c>
      <c r="B13" s="298" t="s">
        <v>699</v>
      </c>
      <c r="C13" s="570" t="e">
        <f>VLOOKUP(B13,'Activity database'!A:B,2,FALSE)</f>
        <v>#N/A</v>
      </c>
      <c r="D13" s="571"/>
      <c r="E13" s="572"/>
      <c r="F13" s="90" t="e">
        <f>VLOOKUP(B13,'Activity database'!A:AN,4,FALSE)</f>
        <v>#N/A</v>
      </c>
      <c r="G13" s="90" t="e">
        <f>VLOOKUP(B13,'Activity database'!A:AN,5,FALSE)</f>
        <v>#N/A</v>
      </c>
      <c r="H13" s="566" t="str">
        <f>O158</f>
        <v>Note: If this retail development contains one of or a combination of restaurants/cafes (for customer use), gym or cinema then please ensure you undertake separate water consumption calculations for such building functions using the appropriate building type calculator. You must then determine the number of BREEAM credits achieved for the development as a whole in accordance with the guidance given in the compliance note: "Building is a mixture of different types", contained within the Wat01 issue in the BREEAM New Construction technical guide.</v>
      </c>
      <c r="I13" s="545"/>
      <c r="J13" s="545"/>
      <c r="K13" s="545"/>
      <c r="L13" s="545"/>
      <c r="M13" s="545"/>
      <c r="N13" s="117"/>
      <c r="O13" s="117"/>
      <c r="P13" s="117"/>
      <c r="Q13" s="117"/>
      <c r="R13" s="117"/>
      <c r="S13" s="117"/>
      <c r="T13" s="117"/>
      <c r="U13" s="117"/>
      <c r="V13" s="117"/>
      <c r="W13" s="117"/>
      <c r="X13" s="123"/>
      <c r="Y13" s="124"/>
      <c r="Z13" s="124"/>
      <c r="AA13" s="124"/>
      <c r="AB13" s="124"/>
      <c r="AC13" s="124"/>
      <c r="AD13" s="124"/>
    </row>
    <row r="14" spans="1:41" ht="33" customHeight="1" x14ac:dyDescent="0.3">
      <c r="A14" s="293" t="str">
        <f>IF(B13=R130,"",IF(G14=$R$130,"&gt;",""))</f>
        <v/>
      </c>
      <c r="B14" s="293"/>
      <c r="C14" s="561" t="s">
        <v>827</v>
      </c>
      <c r="D14" s="562"/>
      <c r="E14" s="562"/>
      <c r="F14" s="563"/>
      <c r="G14" s="230" t="s">
        <v>699</v>
      </c>
      <c r="H14" s="566"/>
      <c r="I14" s="545"/>
      <c r="J14" s="545"/>
      <c r="K14" s="545"/>
      <c r="L14" s="545"/>
      <c r="M14" s="545"/>
      <c r="N14" s="117"/>
      <c r="O14" s="117"/>
      <c r="P14" s="117"/>
      <c r="Q14" s="117"/>
      <c r="R14" s="117"/>
      <c r="S14" s="117"/>
      <c r="T14" s="117"/>
      <c r="U14" s="117"/>
      <c r="V14" s="117"/>
      <c r="W14" s="117"/>
      <c r="X14" s="123"/>
      <c r="Y14" s="124"/>
      <c r="Z14" s="124"/>
      <c r="AA14" s="124"/>
      <c r="AB14" s="124"/>
      <c r="AC14" s="124"/>
      <c r="AD14" s="124"/>
    </row>
    <row r="15" spans="1:41" ht="33" customHeight="1" x14ac:dyDescent="0.3">
      <c r="A15" s="293"/>
      <c r="B15" s="293"/>
      <c r="C15" s="293"/>
      <c r="D15" s="293"/>
      <c r="E15" s="117"/>
      <c r="F15" s="462" t="s">
        <v>828</v>
      </c>
      <c r="G15" s="302">
        <f>IF(G14=R132,R136,O139)</f>
        <v>0</v>
      </c>
      <c r="H15" s="322" t="str">
        <f>IF(G14=R132,O157,"")</f>
        <v/>
      </c>
      <c r="I15" s="117"/>
      <c r="J15" s="117"/>
      <c r="K15" s="117"/>
      <c r="L15" s="117"/>
      <c r="M15" s="117"/>
      <c r="N15" s="117"/>
      <c r="O15" s="117"/>
      <c r="P15" s="117"/>
      <c r="Q15" s="117"/>
      <c r="R15" s="117"/>
      <c r="S15" s="117"/>
      <c r="T15" s="117"/>
      <c r="U15" s="117"/>
      <c r="V15" s="117"/>
      <c r="W15" s="117"/>
      <c r="X15" s="123"/>
      <c r="Y15" s="124"/>
      <c r="Z15" s="124"/>
      <c r="AA15" s="124"/>
      <c r="AB15" s="124"/>
      <c r="AC15" s="124"/>
      <c r="AD15" s="124"/>
    </row>
    <row r="16" spans="1:41" ht="33" customHeight="1" x14ac:dyDescent="0.3">
      <c r="A16" s="293"/>
      <c r="B16" s="293"/>
      <c r="C16" s="293"/>
      <c r="D16" s="293"/>
      <c r="E16" s="117"/>
      <c r="F16" s="462" t="s">
        <v>829</v>
      </c>
      <c r="G16" s="302">
        <f>P139</f>
        <v>0</v>
      </c>
      <c r="I16" s="117"/>
      <c r="J16" s="117"/>
      <c r="K16" s="117"/>
      <c r="L16" s="117"/>
      <c r="M16" s="117"/>
      <c r="N16" s="117"/>
      <c r="O16" s="117"/>
      <c r="P16" s="117"/>
      <c r="Q16" s="117"/>
      <c r="R16" s="117"/>
      <c r="S16" s="117"/>
      <c r="T16" s="117"/>
      <c r="U16" s="117"/>
      <c r="V16" s="117"/>
      <c r="W16" s="117"/>
      <c r="X16" s="123"/>
      <c r="Y16" s="124"/>
      <c r="Z16" s="124"/>
      <c r="AA16" s="124"/>
      <c r="AB16" s="124"/>
      <c r="AC16" s="124"/>
      <c r="AD16" s="124"/>
    </row>
    <row r="17" spans="1:41" ht="17.25" customHeight="1" x14ac:dyDescent="0.3">
      <c r="A17" s="87"/>
      <c r="B17" s="87"/>
      <c r="C17" s="87"/>
      <c r="D17" s="87"/>
      <c r="E17" s="87"/>
      <c r="F17" s="110"/>
      <c r="G17" s="88"/>
      <c r="I17" s="117"/>
      <c r="J17" s="117"/>
      <c r="K17" s="117"/>
      <c r="L17" s="117"/>
      <c r="M17" s="117"/>
      <c r="N17" s="117"/>
      <c r="O17" s="117"/>
      <c r="P17" s="117"/>
      <c r="Q17" s="117"/>
      <c r="R17" s="117"/>
      <c r="S17" s="117"/>
      <c r="T17" s="117"/>
      <c r="U17" s="117"/>
      <c r="V17" s="117"/>
      <c r="W17" s="117"/>
      <c r="X17" s="117"/>
      <c r="Z17" s="117"/>
      <c r="AA17" s="117"/>
      <c r="AB17" s="117"/>
    </row>
    <row r="18" spans="1:41" ht="25" customHeight="1" x14ac:dyDescent="0.3">
      <c r="A18" s="87"/>
      <c r="B18" s="423" t="s">
        <v>705</v>
      </c>
      <c r="C18" s="441" t="s">
        <v>706</v>
      </c>
      <c r="D18" s="442"/>
      <c r="E18" s="443"/>
      <c r="F18" s="444" t="s">
        <v>707</v>
      </c>
      <c r="G18" s="444" t="s">
        <v>708</v>
      </c>
      <c r="H18" s="560" t="str">
        <f>'Office calculator'!H15</f>
        <v>Note: the  activity areas defined opposite are used to estimate the assessed building's default occupancy and therefore water consumption benchmark. These areas are chosen as they are deemed, by in large, to represent the permanently occupied spaces in the building and therefore reflect the number of building occupants/users. As a result it is not necessary to include all areas of the building that may be present, as the areas not defined are assumed to be used by the occupants of the building already accounted for by those areas that are listed.</v>
      </c>
      <c r="I18" s="544"/>
      <c r="J18" s="544"/>
      <c r="K18" s="544"/>
      <c r="L18" s="544"/>
      <c r="M18" s="544"/>
      <c r="N18" s="420"/>
      <c r="O18" s="519"/>
      <c r="P18" s="519"/>
      <c r="Q18" s="117"/>
      <c r="R18" s="117"/>
      <c r="S18" s="117"/>
      <c r="T18" s="117"/>
      <c r="U18" s="117"/>
      <c r="V18" s="117"/>
      <c r="W18" s="117"/>
      <c r="X18" s="117"/>
      <c r="Y18" s="87"/>
      <c r="Z18" s="117"/>
      <c r="AA18" s="117"/>
      <c r="AB18" s="117"/>
      <c r="AD18" s="117"/>
      <c r="AO18" s="117"/>
    </row>
    <row r="19" spans="1:41" ht="40" customHeight="1" x14ac:dyDescent="0.3">
      <c r="A19" s="293" t="str">
        <f t="shared" ref="A19:A25" si="0">IF(F19=$R$130,"&gt;",IF(AND(F19=$R$131,G19=""),"&gt;",""))</f>
        <v>&gt;</v>
      </c>
      <c r="B19" s="235" t="str">
        <f>'Activity database'!A43</f>
        <v>Retail - sales areas for display of bulky items</v>
      </c>
      <c r="C19" s="564" t="str">
        <f>VLOOKUP(B19,'Activity database'!A:B,2,FALSE)</f>
        <v>A retail sales/display area trading predominantly in bulky items, e.g. furniture, floor coverings, cycles, prams, large domestic appliances or other bulky goods, or trading on a wholesale self-selection basis.</v>
      </c>
      <c r="D19" s="564"/>
      <c r="E19" s="564"/>
      <c r="F19" s="218" t="s">
        <v>699</v>
      </c>
      <c r="G19" s="219"/>
      <c r="H19" s="560"/>
      <c r="I19" s="544"/>
      <c r="J19" s="544"/>
      <c r="K19" s="544"/>
      <c r="L19" s="544"/>
      <c r="M19" s="544"/>
      <c r="N19" s="420"/>
      <c r="O19" s="519"/>
      <c r="P19" s="519"/>
      <c r="Q19" s="117"/>
      <c r="R19" s="117"/>
      <c r="S19" s="117"/>
      <c r="T19" s="117"/>
      <c r="U19" s="117"/>
      <c r="V19" s="117"/>
      <c r="W19" s="117"/>
      <c r="X19" s="117"/>
      <c r="Y19" s="87"/>
      <c r="Z19" s="117"/>
      <c r="AA19" s="117"/>
      <c r="AB19" s="117"/>
      <c r="AD19" s="117"/>
      <c r="AO19" s="117"/>
    </row>
    <row r="20" spans="1:41" ht="40" customHeight="1" x14ac:dyDescent="0.3">
      <c r="A20" s="293" t="str">
        <f t="shared" si="0"/>
        <v>&gt;</v>
      </c>
      <c r="B20" s="235" t="str">
        <f>'Activity database'!A44</f>
        <v>Retail - sales areas for display of non bulky items and/or customer service area.</v>
      </c>
      <c r="C20" s="564" t="str">
        <f>VLOOKUP(B20,'Activity database'!A:B,2,FALSE)</f>
        <v>A general sales/display areas in department stores, supermarkets, shops and/or customer service waiting and/or collection areas e.g. in banks, post office, bookmakers etc.</v>
      </c>
      <c r="D20" s="564"/>
      <c r="E20" s="564"/>
      <c r="F20" s="218" t="s">
        <v>699</v>
      </c>
      <c r="G20" s="219"/>
      <c r="H20" s="519"/>
      <c r="I20" s="519"/>
      <c r="J20" s="519"/>
      <c r="K20" s="519"/>
      <c r="L20" s="519"/>
      <c r="M20" s="519"/>
      <c r="N20" s="519"/>
      <c r="O20" s="519"/>
      <c r="P20" s="519"/>
      <c r="Q20" s="87"/>
      <c r="R20" s="87"/>
      <c r="S20" s="87"/>
      <c r="T20" s="117"/>
      <c r="U20" s="117"/>
      <c r="V20" s="117"/>
      <c r="W20" s="117"/>
      <c r="X20" s="117"/>
      <c r="Y20" s="87"/>
      <c r="Z20" s="117"/>
      <c r="AA20" s="117"/>
      <c r="AB20" s="117"/>
      <c r="AD20" s="117"/>
      <c r="AO20" s="117"/>
    </row>
    <row r="21" spans="1:41" ht="40" customHeight="1" x14ac:dyDescent="0.3">
      <c r="A21" s="293" t="str">
        <f t="shared" si="0"/>
        <v>&gt;</v>
      </c>
      <c r="B21" s="235" t="str">
        <f>'Activity database'!A45</f>
        <v>Retail - concourse/shopping mall</v>
      </c>
      <c r="C21" s="564" t="str">
        <f>VLOOKUP(B21,'Activity database'!A:B,2,FALSE)</f>
        <v>The central (shared) area within a shopping centre used for access by shoppers (typically a covered area containing one or more of benches, cafes, escalators etc.)</v>
      </c>
      <c r="D21" s="564"/>
      <c r="E21" s="564"/>
      <c r="F21" s="218" t="s">
        <v>699</v>
      </c>
      <c r="G21" s="219"/>
      <c r="H21" s="519"/>
      <c r="I21" s="519"/>
      <c r="J21" s="519"/>
      <c r="K21" s="519"/>
      <c r="L21" s="519"/>
      <c r="M21" s="519"/>
      <c r="N21" s="519"/>
      <c r="O21" s="519"/>
      <c r="P21" s="519"/>
      <c r="Q21" s="87"/>
      <c r="R21" s="87"/>
      <c r="S21" s="87"/>
      <c r="T21" s="117"/>
      <c r="U21" s="117"/>
      <c r="V21" s="117"/>
      <c r="W21" s="117"/>
      <c r="X21" s="117"/>
      <c r="Y21" s="87"/>
      <c r="Z21" s="117"/>
      <c r="AA21" s="117"/>
      <c r="AB21" s="117"/>
      <c r="AD21" s="117"/>
      <c r="AO21" s="117"/>
    </row>
    <row r="22" spans="1:41" ht="40" customHeight="1" x14ac:dyDescent="0.3">
      <c r="A22" s="293" t="str">
        <f t="shared" si="0"/>
        <v>&gt;</v>
      </c>
      <c r="B22" s="235" t="str">
        <f>'Activity database'!A46</f>
        <v>Retail - Staff office area and staffroom</v>
      </c>
      <c r="C22" s="564" t="str">
        <f>VLOOKUP(B22,'Activity database'!A:B,2,FALSE)</f>
        <v>Staff office space and staffroom, often located in 'back of house' areas.</v>
      </c>
      <c r="D22" s="564"/>
      <c r="E22" s="564"/>
      <c r="F22" s="218" t="s">
        <v>699</v>
      </c>
      <c r="G22" s="219"/>
      <c r="H22" s="519"/>
      <c r="I22" s="519"/>
      <c r="J22" s="519"/>
      <c r="K22" s="519"/>
      <c r="L22" s="519"/>
      <c r="M22" s="519"/>
      <c r="N22" s="519"/>
      <c r="O22" s="519"/>
      <c r="P22" s="519"/>
      <c r="Q22" s="87"/>
      <c r="R22" s="87"/>
      <c r="S22" s="87"/>
      <c r="T22" s="117"/>
      <c r="U22" s="117"/>
      <c r="V22" s="117"/>
      <c r="W22" s="117"/>
      <c r="X22" s="117"/>
      <c r="Y22" s="87"/>
      <c r="Z22" s="117"/>
      <c r="AA22" s="117"/>
      <c r="AB22" s="117"/>
      <c r="AD22" s="117"/>
      <c r="AO22" s="117"/>
    </row>
    <row r="23" spans="1:41" ht="40" customHeight="1" x14ac:dyDescent="0.3">
      <c r="A23" s="293" t="str">
        <f t="shared" si="0"/>
        <v>&gt;</v>
      </c>
      <c r="B23" s="235" t="str">
        <f>'Activity database'!A47</f>
        <v>Retail - Staff canteen dining area</v>
      </c>
      <c r="C23" s="546" t="str">
        <f>VLOOKUP(B23,'Activity database'!A:B,2,FALSE)</f>
        <v>Seated areas in a staff canteen that accompany a food preparation areas where food and drink is consumed by staff on the premises.</v>
      </c>
      <c r="D23" s="546"/>
      <c r="E23" s="546"/>
      <c r="F23" s="218" t="s">
        <v>699</v>
      </c>
      <c r="G23" s="219"/>
      <c r="H23" s="547" t="s">
        <v>830</v>
      </c>
      <c r="I23" s="565"/>
      <c r="J23" s="565"/>
      <c r="K23" s="565"/>
      <c r="L23" s="565"/>
      <c r="M23" s="565"/>
      <c r="N23" s="565"/>
      <c r="O23" s="565"/>
      <c r="P23" s="565"/>
      <c r="Q23" s="117"/>
      <c r="R23" s="117"/>
      <c r="S23" s="117"/>
      <c r="T23" s="117"/>
      <c r="U23" s="117"/>
      <c r="V23" s="117"/>
      <c r="W23" s="117"/>
      <c r="X23" s="117"/>
      <c r="Y23" s="87"/>
      <c r="Z23" s="125"/>
      <c r="AA23" s="125"/>
      <c r="AB23" s="125"/>
      <c r="AC23" s="125"/>
      <c r="AD23" s="117"/>
      <c r="AO23" s="117"/>
    </row>
    <row r="24" spans="1:41" ht="40" customHeight="1" x14ac:dyDescent="0.3">
      <c r="A24" s="293" t="str">
        <f t="shared" si="0"/>
        <v>&gt;</v>
      </c>
      <c r="B24" s="235" t="str">
        <f>'Activity database'!A48</f>
        <v>Retail - Goods-in and storage area</v>
      </c>
      <c r="C24" s="546" t="str">
        <f>VLOOKUP(B24,'Activity database'!A:B,2,FALSE)</f>
        <v>Internal areas for receiving and storing goods.</v>
      </c>
      <c r="D24" s="546"/>
      <c r="E24" s="546"/>
      <c r="F24" s="218" t="s">
        <v>699</v>
      </c>
      <c r="G24" s="219"/>
      <c r="H24" s="421"/>
      <c r="I24" s="520"/>
      <c r="J24" s="520"/>
      <c r="K24" s="520"/>
      <c r="L24" s="520"/>
      <c r="M24" s="520"/>
      <c r="N24" s="520"/>
      <c r="O24" s="520"/>
      <c r="P24" s="520"/>
      <c r="Q24" s="117"/>
      <c r="R24" s="117"/>
      <c r="S24" s="117"/>
      <c r="T24" s="117"/>
      <c r="U24" s="117"/>
      <c r="V24" s="117"/>
      <c r="W24" s="117"/>
      <c r="X24" s="117"/>
      <c r="Z24" s="126"/>
      <c r="AA24" s="126"/>
      <c r="AB24" s="126"/>
      <c r="AC24" s="126"/>
      <c r="AD24" s="117"/>
      <c r="AO24" s="117"/>
    </row>
    <row r="25" spans="1:41" ht="40" customHeight="1" x14ac:dyDescent="0.3">
      <c r="A25" s="293" t="str">
        <f t="shared" si="0"/>
        <v>&gt;</v>
      </c>
      <c r="B25" s="235" t="str">
        <f>'Activity database'!A49</f>
        <v>Retail - Workshop</v>
      </c>
      <c r="C25" s="564" t="str">
        <f>VLOOKUP(B25,'Activity database'!A:B,2,FALSE)</f>
        <v>A workshop / vehicle servicing area within a car showroom or general workshop in other type of retail development.</v>
      </c>
      <c r="D25" s="564"/>
      <c r="E25" s="564"/>
      <c r="F25" s="218" t="s">
        <v>699</v>
      </c>
      <c r="G25" s="219"/>
      <c r="H25" s="418"/>
      <c r="I25" s="519"/>
      <c r="J25" s="519"/>
      <c r="K25" s="519"/>
      <c r="L25" s="519"/>
      <c r="M25" s="519"/>
      <c r="N25" s="519"/>
      <c r="O25" s="519"/>
      <c r="P25" s="519"/>
      <c r="Q25" s="87"/>
      <c r="R25" s="87"/>
      <c r="S25" s="87"/>
      <c r="T25" s="117"/>
      <c r="U25" s="117"/>
      <c r="V25" s="117"/>
      <c r="W25" s="117"/>
      <c r="X25" s="117"/>
      <c r="Y25" s="87"/>
      <c r="Z25" s="117"/>
      <c r="AA25" s="117"/>
      <c r="AB25" s="117"/>
      <c r="AD25" s="117"/>
      <c r="AO25" s="117"/>
    </row>
    <row r="26" spans="1:41" ht="25" customHeight="1" x14ac:dyDescent="0.3">
      <c r="A26" s="87"/>
      <c r="B26" s="270"/>
      <c r="C26" s="87"/>
      <c r="D26" s="87"/>
      <c r="E26" s="87"/>
      <c r="F26" s="87"/>
      <c r="G26" s="88"/>
      <c r="I26" s="117"/>
      <c r="J26" s="117"/>
      <c r="K26" s="117"/>
      <c r="L26" s="117"/>
      <c r="M26" s="117"/>
      <c r="N26" s="117"/>
      <c r="O26" s="117"/>
      <c r="P26" s="117"/>
      <c r="Q26" s="117"/>
      <c r="R26" s="117"/>
      <c r="S26" s="117"/>
      <c r="T26" s="117"/>
      <c r="U26" s="87"/>
      <c r="V26" s="87"/>
      <c r="W26" s="87"/>
      <c r="X26" s="87"/>
      <c r="Y26" s="157"/>
      <c r="Z26" s="127"/>
      <c r="AA26" s="127"/>
      <c r="AB26" s="127"/>
      <c r="AC26" s="127"/>
      <c r="AD26" s="117"/>
      <c r="AO26" s="117"/>
    </row>
    <row r="27" spans="1:41" ht="32.15" customHeight="1" x14ac:dyDescent="0.3">
      <c r="A27" s="87"/>
      <c r="B27" s="422" t="s">
        <v>711</v>
      </c>
      <c r="C27" s="422"/>
      <c r="D27" s="422"/>
      <c r="E27" s="422"/>
      <c r="F27" s="422"/>
      <c r="G27" s="422"/>
      <c r="I27" s="117"/>
      <c r="J27" s="117"/>
      <c r="K27" s="117"/>
      <c r="L27" s="117"/>
      <c r="M27" s="117"/>
      <c r="N27" s="117"/>
      <c r="O27" s="117"/>
      <c r="P27" s="117"/>
      <c r="Q27" s="117"/>
      <c r="R27" s="117"/>
      <c r="S27" s="117"/>
      <c r="T27" s="117"/>
      <c r="U27" s="87"/>
      <c r="V27" s="87"/>
      <c r="W27" s="87"/>
      <c r="X27" s="87"/>
      <c r="Y27" s="87"/>
      <c r="Z27" s="117"/>
      <c r="AA27" s="117"/>
      <c r="AB27" s="117"/>
      <c r="AD27" s="117"/>
      <c r="AO27" s="117"/>
    </row>
    <row r="28" spans="1:41" ht="25" customHeight="1" x14ac:dyDescent="0.3">
      <c r="A28" s="87"/>
      <c r="B28" s="268"/>
      <c r="C28" s="87"/>
      <c r="D28" s="87"/>
      <c r="E28" s="87"/>
      <c r="F28" s="87"/>
      <c r="G28" s="88"/>
      <c r="I28" s="117"/>
      <c r="J28" s="117"/>
      <c r="K28" s="117"/>
      <c r="L28" s="117"/>
      <c r="M28" s="117"/>
      <c r="N28" s="117"/>
      <c r="O28" s="117"/>
      <c r="P28" s="117"/>
      <c r="Q28" s="117"/>
      <c r="R28" s="117"/>
      <c r="S28" s="117"/>
      <c r="T28" s="117"/>
      <c r="U28" s="87"/>
      <c r="V28" s="87"/>
      <c r="W28" s="87"/>
      <c r="X28" s="87"/>
      <c r="Y28" s="87"/>
      <c r="Z28" s="87"/>
      <c r="AA28" s="87"/>
      <c r="AB28" s="87"/>
      <c r="AC28" s="87"/>
      <c r="AD28" s="117"/>
      <c r="AO28" s="117"/>
    </row>
    <row r="29" spans="1:41" ht="25" customHeight="1" x14ac:dyDescent="0.3">
      <c r="A29" s="87"/>
      <c r="B29" s="423" t="s">
        <v>712</v>
      </c>
      <c r="C29" s="444" t="s">
        <v>713</v>
      </c>
      <c r="D29" s="444" t="s">
        <v>714</v>
      </c>
      <c r="E29" s="444" t="s">
        <v>715</v>
      </c>
      <c r="F29" s="444" t="s">
        <v>716</v>
      </c>
      <c r="G29" s="444" t="s">
        <v>717</v>
      </c>
      <c r="I29" s="117"/>
      <c r="J29" s="117"/>
      <c r="K29" s="117"/>
      <c r="L29" s="117"/>
      <c r="M29" s="117"/>
      <c r="N29" s="117"/>
      <c r="O29" s="112" t="s">
        <v>712</v>
      </c>
      <c r="P29" s="112" t="s">
        <v>718</v>
      </c>
      <c r="Q29" s="112" t="s">
        <v>715</v>
      </c>
      <c r="R29" s="112" t="s">
        <v>716</v>
      </c>
      <c r="S29" s="112" t="s">
        <v>719</v>
      </c>
      <c r="T29" s="117"/>
      <c r="U29" s="87"/>
      <c r="V29" s="87"/>
      <c r="W29" s="87"/>
      <c r="X29" s="87"/>
      <c r="Y29" s="87"/>
      <c r="Z29" s="117"/>
      <c r="AA29" s="117"/>
      <c r="AB29" s="117"/>
      <c r="AD29" s="117"/>
      <c r="AO29" s="117"/>
    </row>
    <row r="30" spans="1:41" ht="15" customHeight="1" x14ac:dyDescent="0.3">
      <c r="A30" s="293" t="str">
        <f>IF(B30=$R$130,"&gt;","")</f>
        <v>&gt;</v>
      </c>
      <c r="B30" s="220" t="s">
        <v>699</v>
      </c>
      <c r="C30" s="93" t="s">
        <v>720</v>
      </c>
      <c r="D30" s="221"/>
      <c r="E30" s="94" t="str">
        <f>IF(OR(B13=R130,B30=R130),R138,IF(B30=S131,VLOOKUP($B$13,'Activity database'!$A:$AN,9,FALSE),IF(B30=S132,VLOOKUP($B$13,'Activity database'!$A:$BY,10,FALSE))))</f>
        <v>Requires building information</v>
      </c>
      <c r="F30" s="94" t="str">
        <f>IF(B13=R130,R138,VLOOKUP($B$13,'Activity database'!$A:$BY,27,FALSE))</f>
        <v>Requires building information</v>
      </c>
      <c r="G30" s="92" t="str">
        <f>IF(ISERROR((D30*E30*F30*(VLOOKUP(B13,'Activity database'!A:BA,7,FALSE)))),R138,(D30*E30*F30*(VLOOKUP(B13,'Activity database'!A:BA,7,FALSE))))</f>
        <v>Requires building information</v>
      </c>
      <c r="H30" s="294" t="str">
        <f>IF(B30=S130,"Note: please seelct the relevant option for WC component opposite","")</f>
        <v>Note: please seelct the relevant option for WC component opposite</v>
      </c>
      <c r="I30" s="117"/>
      <c r="J30" s="117"/>
      <c r="K30" s="117"/>
      <c r="L30" s="117"/>
      <c r="M30" s="117"/>
      <c r="N30" s="117"/>
      <c r="O30" s="169" t="str">
        <f>B30</f>
        <v>Please select</v>
      </c>
      <c r="P30" s="94">
        <f>IF($D$30="",0,VLOOKUP($O$30,'Activity database'!$AT:$BA,2,FALSE))</f>
        <v>0</v>
      </c>
      <c r="Q30" s="94" t="str">
        <f>E30</f>
        <v>Requires building information</v>
      </c>
      <c r="R30" s="94" t="str">
        <f>F30</f>
        <v>Requires building information</v>
      </c>
      <c r="S30" s="92">
        <f>IF($D$30="",0,P30*$Q$30*$R$30*(VLOOKUP($B$13,'Activity database'!$A:$BA,7,FALSE)))</f>
        <v>0</v>
      </c>
      <c r="T30" s="117"/>
      <c r="U30" s="87"/>
      <c r="V30" s="87"/>
      <c r="W30" s="87"/>
      <c r="X30" s="87"/>
      <c r="Y30" s="87"/>
      <c r="Z30" s="117"/>
      <c r="AA30" s="117"/>
      <c r="AB30" s="117"/>
      <c r="AD30" s="117"/>
      <c r="AO30" s="117"/>
    </row>
    <row r="31" spans="1:41" ht="15" customHeight="1" x14ac:dyDescent="0.3">
      <c r="A31" s="87"/>
      <c r="B31" s="101" t="str">
        <f>'Activity database'!K3</f>
        <v>WC - female</v>
      </c>
      <c r="C31" s="93" t="s">
        <v>720</v>
      </c>
      <c r="D31" s="221"/>
      <c r="E31" s="94" t="str">
        <f>IF(B13=R130,R138,VLOOKUP($B$13,'Activity database'!$A:$BY,11,FALSE))</f>
        <v>Requires building information</v>
      </c>
      <c r="F31" s="94" t="str">
        <f>IF(B13=R130,R138,VLOOKUP($B$13,'Activity database'!$A:$BY,27,FALSE))</f>
        <v>Requires building information</v>
      </c>
      <c r="G31" s="92" t="str">
        <f>IF(ISERROR(IF(B13=R130,R138,D31*E31*F31*(VLOOKUP(B13,'Activity database'!A:BA,8,FALSE)))),R138,IF(B13=R130,R138,D31*E31*F31*(VLOOKUP(B13,'Activity database'!A:BA,8,FALSE))))</f>
        <v>Requires building information</v>
      </c>
      <c r="H31" s="544" t="s">
        <v>721</v>
      </c>
      <c r="I31" s="544"/>
      <c r="J31" s="544"/>
      <c r="K31" s="544"/>
      <c r="L31" s="544"/>
      <c r="M31" s="544"/>
      <c r="N31" s="420"/>
      <c r="O31" s="239" t="str">
        <f>B31</f>
        <v>WC - female</v>
      </c>
      <c r="P31" s="94">
        <f>IF($D$31="",0,VLOOKUP($O$31,'Activity database'!$AT:$BA,2,FALSE))</f>
        <v>0</v>
      </c>
      <c r="Q31" s="94" t="str">
        <f>E31</f>
        <v>Requires building information</v>
      </c>
      <c r="R31" s="94" t="str">
        <f>F31</f>
        <v>Requires building information</v>
      </c>
      <c r="S31" s="92">
        <f>IF($D$31="",0,P31*$Q$31*$R$31*(VLOOKUP($B$13,'Activity database'!$A:$BA,8,FALSE)))</f>
        <v>0</v>
      </c>
      <c r="T31" s="117"/>
      <c r="U31" s="87"/>
      <c r="V31" s="87"/>
      <c r="W31" s="87"/>
      <c r="X31" s="87"/>
      <c r="Y31" s="87"/>
      <c r="Z31" s="117"/>
      <c r="AA31" s="117"/>
      <c r="AB31" s="117"/>
      <c r="AD31" s="117"/>
      <c r="AO31" s="117"/>
    </row>
    <row r="32" spans="1:41" ht="12.75" customHeight="1" x14ac:dyDescent="0.3">
      <c r="A32" s="87"/>
      <c r="B32" s="87"/>
      <c r="C32" s="87"/>
      <c r="D32" s="87"/>
      <c r="E32" s="87"/>
      <c r="F32" s="87"/>
      <c r="G32" s="88"/>
      <c r="H32" s="544"/>
      <c r="I32" s="544"/>
      <c r="J32" s="544"/>
      <c r="K32" s="544"/>
      <c r="L32" s="544"/>
      <c r="M32" s="544"/>
      <c r="N32" s="420"/>
      <c r="O32" s="117"/>
      <c r="P32" s="117"/>
      <c r="Q32" s="117"/>
      <c r="R32" s="117"/>
      <c r="S32" s="117"/>
      <c r="T32" s="117"/>
      <c r="U32" s="87"/>
      <c r="V32" s="87"/>
      <c r="W32" s="87"/>
      <c r="X32" s="87"/>
      <c r="Y32" s="87"/>
      <c r="Z32" s="117"/>
      <c r="AA32" s="117"/>
      <c r="AB32" s="117"/>
      <c r="AD32" s="117"/>
      <c r="AO32" s="117"/>
    </row>
    <row r="33" spans="1:41" ht="25" customHeight="1" x14ac:dyDescent="0.3">
      <c r="A33" s="87"/>
      <c r="B33" s="423" t="s">
        <v>722</v>
      </c>
      <c r="C33" s="444" t="s">
        <v>713</v>
      </c>
      <c r="D33" s="444" t="s">
        <v>714</v>
      </c>
      <c r="E33" s="444" t="s">
        <v>723</v>
      </c>
      <c r="F33" s="444" t="s">
        <v>724</v>
      </c>
      <c r="G33" s="444" t="s">
        <v>717</v>
      </c>
      <c r="H33" s="544"/>
      <c r="I33" s="544"/>
      <c r="J33" s="544"/>
      <c r="K33" s="544"/>
      <c r="L33" s="544"/>
      <c r="M33" s="544"/>
      <c r="N33" s="420"/>
      <c r="O33" s="272" t="s">
        <v>722</v>
      </c>
      <c r="P33" s="111" t="s">
        <v>718</v>
      </c>
      <c r="Q33" s="111" t="s">
        <v>725</v>
      </c>
      <c r="R33" s="111" t="s">
        <v>726</v>
      </c>
      <c r="S33" s="111" t="s">
        <v>719</v>
      </c>
      <c r="T33" s="117"/>
      <c r="U33" s="87"/>
      <c r="V33" s="87"/>
      <c r="W33" s="87"/>
      <c r="X33" s="87"/>
      <c r="Y33" s="87"/>
      <c r="Z33" s="117"/>
      <c r="AA33" s="117"/>
      <c r="AB33" s="117"/>
      <c r="AD33" s="117"/>
      <c r="AO33" s="117"/>
    </row>
    <row r="34" spans="1:41" ht="15" customHeight="1" x14ac:dyDescent="0.3">
      <c r="A34" s="293" t="str">
        <f>IF(AND(D34&gt;0,OR(E34="",F34="")),"&gt;","")</f>
        <v/>
      </c>
      <c r="B34" s="551" t="s">
        <v>727</v>
      </c>
      <c r="C34" s="93" t="s">
        <v>728</v>
      </c>
      <c r="D34" s="221"/>
      <c r="E34" s="222"/>
      <c r="F34" s="222"/>
      <c r="G34" s="92" t="str">
        <f>IF(B13=R130,R138,IF(OR(D34=0,E34=0,F34=0,B30=S132),0,(D34*E34*F34*G13)/O140))</f>
        <v>Requires building information</v>
      </c>
      <c r="H34" s="129"/>
      <c r="I34" s="128"/>
      <c r="J34" s="128"/>
      <c r="K34" s="128"/>
      <c r="L34" s="128"/>
      <c r="O34" s="289" t="str">
        <f>B34</f>
        <v>Automatically operated flushing cistern</v>
      </c>
      <c r="P34" s="288">
        <f>IF($D$34=0,0,IF($D$35=1,'Activity database'!$AU$11,'Activity database'!$AU$10))</f>
        <v>0</v>
      </c>
      <c r="Q34" s="90" t="e">
        <f>P34*$G$13</f>
        <v>#N/A</v>
      </c>
      <c r="R34" s="94" t="e">
        <f>Q34*$D$35</f>
        <v>#N/A</v>
      </c>
      <c r="S34" s="94" t="e">
        <f>IF(B30=S132,0,$R$34/O140)</f>
        <v>#N/A</v>
      </c>
      <c r="T34" s="117"/>
      <c r="U34" s="87"/>
      <c r="V34" s="87"/>
      <c r="W34" s="87"/>
      <c r="X34" s="87"/>
      <c r="Y34" s="87"/>
      <c r="Z34" s="117"/>
      <c r="AA34" s="117"/>
      <c r="AB34" s="117"/>
      <c r="AD34" s="117"/>
      <c r="AO34" s="117"/>
    </row>
    <row r="35" spans="1:41" ht="15" customHeight="1" x14ac:dyDescent="0.3">
      <c r="A35" s="293" t="str">
        <f>IF(AND(D34&gt;0,D35=""),"&gt;","")</f>
        <v/>
      </c>
      <c r="B35" s="552"/>
      <c r="C35" s="93" t="s">
        <v>729</v>
      </c>
      <c r="D35" s="221"/>
      <c r="E35" s="87"/>
      <c r="F35" s="87"/>
      <c r="G35" s="87"/>
      <c r="I35" s="117"/>
      <c r="J35" s="117"/>
      <c r="K35" s="117"/>
      <c r="L35" s="117"/>
      <c r="M35" s="130"/>
      <c r="N35" s="130"/>
      <c r="O35" s="87"/>
      <c r="P35" s="87"/>
      <c r="Q35" s="87"/>
      <c r="R35" s="87"/>
      <c r="S35" s="87"/>
      <c r="T35" s="117"/>
      <c r="U35" s="87"/>
      <c r="V35" s="87"/>
      <c r="W35" s="113"/>
      <c r="X35" s="87"/>
      <c r="Y35" s="87"/>
      <c r="Z35" s="117"/>
      <c r="AA35" s="117"/>
      <c r="AB35" s="117"/>
      <c r="AD35" s="117"/>
      <c r="AO35" s="117"/>
    </row>
    <row r="36" spans="1:41" ht="25" customHeight="1" x14ac:dyDescent="0.3">
      <c r="A36" s="87"/>
      <c r="B36" s="423"/>
      <c r="C36" s="444" t="s">
        <v>713</v>
      </c>
      <c r="D36" s="444" t="s">
        <v>714</v>
      </c>
      <c r="E36" s="444" t="s">
        <v>715</v>
      </c>
      <c r="F36" s="444" t="s">
        <v>716</v>
      </c>
      <c r="G36" s="444" t="s">
        <v>717</v>
      </c>
      <c r="H36" s="129"/>
      <c r="I36" s="117"/>
      <c r="J36" s="117"/>
      <c r="K36" s="117"/>
      <c r="L36" s="117"/>
      <c r="M36" s="117"/>
      <c r="N36" s="117"/>
      <c r="O36" s="272" t="s">
        <v>722</v>
      </c>
      <c r="P36" s="111" t="s">
        <v>718</v>
      </c>
      <c r="Q36" s="111" t="s">
        <v>715</v>
      </c>
      <c r="R36" s="111" t="s">
        <v>716</v>
      </c>
      <c r="S36" s="111" t="s">
        <v>719</v>
      </c>
      <c r="T36" s="117"/>
      <c r="U36" s="87"/>
      <c r="V36" s="87"/>
      <c r="W36" s="113"/>
      <c r="X36" s="87"/>
      <c r="Y36" s="87"/>
      <c r="Z36" s="117"/>
      <c r="AA36" s="117"/>
      <c r="AB36" s="117"/>
      <c r="AD36" s="117"/>
      <c r="AO36" s="117"/>
    </row>
    <row r="37" spans="1:41" ht="15" customHeight="1" x14ac:dyDescent="0.3">
      <c r="A37" s="87"/>
      <c r="B37" s="551" t="s">
        <v>730</v>
      </c>
      <c r="C37" s="93" t="s">
        <v>731</v>
      </c>
      <c r="D37" s="222"/>
      <c r="E37" s="94" t="str">
        <f>IF(B13=R130,R138,VLOOKUP($B$13,'Activity database'!$A:$AN,12,FALSE))</f>
        <v>Requires building information</v>
      </c>
      <c r="F37" s="94" t="str">
        <f>IF(B13=R130,R138,VLOOKUP($B$13,'Activity database'!$A:$AN,28,FALSE))</f>
        <v>Requires building information</v>
      </c>
      <c r="G37" s="92" t="str">
        <f>IF(ISERROR(IF(B13=R130,R138,IF(OR(D37=0,E37=0,F37=0,B30=S132),0,(D37*E37*F37)*(VLOOKUP(B13,'Activity database'!A:BA,7,FALSE))*(D38/(D35+D38+D41))))),R138,IF(B13=R130,R138,IF(OR(D37=0,E37=0,F37=0,B30=S132),0,(D37*E37*F37)*(VLOOKUP(B13,'Activity database'!A:BA,7,FALSE))*(D38/(D35+D38+D41)))))</f>
        <v>Requires building information</v>
      </c>
      <c r="H37" s="544" t="str">
        <f>IF(B30=S132,"",O153)</f>
        <v>Note: This consumption total accounts for the ratio of male users for this building type i.e. the ratio of building users who will operate the flush. Where more than one type of urinal flushing control is specified in the building, this consumption figure is adjusted by a ratio of use. the ratio is determined according to the proportion of urinals bowls in the building operated using this type of control.</v>
      </c>
      <c r="I37" s="544"/>
      <c r="J37" s="544"/>
      <c r="K37" s="544"/>
      <c r="L37" s="544"/>
      <c r="M37" s="544"/>
      <c r="N37" s="420"/>
      <c r="O37" s="287" t="str">
        <f>B37</f>
        <v>Manual/automatic operated pressure flushing valve (all activity areas)</v>
      </c>
      <c r="P37" s="90">
        <f>'Activity database'!$AU$12</f>
        <v>1.5</v>
      </c>
      <c r="Q37" s="94" t="str">
        <f>E37</f>
        <v>Requires building information</v>
      </c>
      <c r="R37" s="94" t="str">
        <f>F37</f>
        <v>Requires building information</v>
      </c>
      <c r="S37" s="94" t="e">
        <f>IF(B30=S132,0,IF($D$37="",0,$P$37*$Q$37*$R$37*(VLOOKUP(B13,'Activity database'!$A:$BA,7,FALSE)))*(D38/(D35+D38+D41)))</f>
        <v>#DIV/0!</v>
      </c>
      <c r="T37" s="117"/>
      <c r="U37" s="87"/>
      <c r="V37" s="87"/>
      <c r="W37" s="113"/>
      <c r="X37" s="87"/>
      <c r="Y37" s="87"/>
      <c r="Z37" s="117"/>
      <c r="AA37" s="117"/>
      <c r="AB37" s="117"/>
      <c r="AD37" s="117"/>
      <c r="AO37" s="117"/>
    </row>
    <row r="38" spans="1:41" ht="15" customHeight="1" x14ac:dyDescent="0.3">
      <c r="A38" s="293" t="str">
        <f>IF(AND(D37&gt;0,D38=""),"&gt;","")</f>
        <v/>
      </c>
      <c r="B38" s="553"/>
      <c r="C38" s="95" t="s">
        <v>729</v>
      </c>
      <c r="D38" s="221"/>
      <c r="E38" s="87"/>
      <c r="F38" s="87"/>
      <c r="G38" s="87"/>
      <c r="H38" s="544"/>
      <c r="I38" s="544"/>
      <c r="J38" s="544"/>
      <c r="K38" s="544"/>
      <c r="L38" s="544"/>
      <c r="M38" s="544"/>
      <c r="N38" s="420"/>
      <c r="O38" s="113"/>
      <c r="P38" s="280"/>
      <c r="Q38" s="87"/>
      <c r="R38" s="87"/>
      <c r="S38" s="87"/>
      <c r="T38" s="117"/>
      <c r="U38" s="87"/>
      <c r="V38" s="87"/>
      <c r="W38" s="87"/>
      <c r="X38" s="87"/>
      <c r="Y38" s="87"/>
      <c r="Z38" s="117"/>
      <c r="AA38" s="117"/>
      <c r="AB38" s="117"/>
      <c r="AD38" s="117"/>
      <c r="AO38" s="117"/>
    </row>
    <row r="39" spans="1:41" ht="25" customHeight="1" x14ac:dyDescent="0.3">
      <c r="A39" s="87"/>
      <c r="B39" s="423"/>
      <c r="C39" s="444" t="s">
        <v>713</v>
      </c>
      <c r="D39" s="444"/>
      <c r="E39" s="444" t="s">
        <v>715</v>
      </c>
      <c r="F39" s="444" t="s">
        <v>716</v>
      </c>
      <c r="G39" s="444" t="s">
        <v>717</v>
      </c>
      <c r="H39" s="544"/>
      <c r="I39" s="544"/>
      <c r="J39" s="544"/>
      <c r="K39" s="544"/>
      <c r="L39" s="544"/>
      <c r="M39" s="544"/>
      <c r="N39" s="420"/>
      <c r="O39" s="272" t="s">
        <v>722</v>
      </c>
      <c r="P39" s="111" t="s">
        <v>718</v>
      </c>
      <c r="Q39" s="111" t="s">
        <v>715</v>
      </c>
      <c r="R39" s="111" t="s">
        <v>716</v>
      </c>
      <c r="S39" s="111" t="s">
        <v>719</v>
      </c>
      <c r="T39" s="117"/>
      <c r="U39" s="87"/>
      <c r="V39" s="87"/>
      <c r="W39" s="87"/>
      <c r="X39" s="87"/>
      <c r="Y39" s="87"/>
      <c r="Z39" s="117"/>
      <c r="AA39" s="117"/>
      <c r="AB39" s="117"/>
      <c r="AD39" s="117"/>
      <c r="AO39" s="117"/>
    </row>
    <row r="40" spans="1:41" ht="15" customHeight="1" x14ac:dyDescent="0.3">
      <c r="A40" s="293" t="str">
        <f>IF(B30=S132,"",IF(D40=$R$130,"&gt;",""))</f>
        <v>&gt;</v>
      </c>
      <c r="B40" s="551" t="s">
        <v>732</v>
      </c>
      <c r="C40" s="93" t="s">
        <v>731</v>
      </c>
      <c r="D40" s="218" t="s">
        <v>699</v>
      </c>
      <c r="E40" s="94" t="str">
        <f>IF(B13=R130,R138,VLOOKUP($B$13,'Activity database'!$A:$AN,12,FALSE))</f>
        <v>Requires building information</v>
      </c>
      <c r="F40" s="94" t="str">
        <f>IF(B13=R130,R138,VLOOKUP($B$13,'Activity database'!$A:$AN,28,FALSE))</f>
        <v>Requires building information</v>
      </c>
      <c r="G40" s="92" t="str">
        <f>IF(B13=R130,R138,0)</f>
        <v>Requires building information</v>
      </c>
      <c r="H40" s="545" t="str">
        <f>IF(OR(B30=S132,B30=S130,D40=Q132),"",IF(AND(D40=Q131,D41&gt;0),O154,IF(OR(D40=S130,D40=Q131),O155)))</f>
        <v/>
      </c>
      <c r="I40" s="545"/>
      <c r="J40" s="545"/>
      <c r="K40" s="545"/>
      <c r="L40" s="545"/>
      <c r="M40" s="545"/>
      <c r="N40" s="415"/>
      <c r="O40" s="287" t="str">
        <f>B40</f>
        <v>Waterless urinals (all activity areas)</v>
      </c>
      <c r="P40" s="290">
        <f>'Activity database'!$AU$12</f>
        <v>1.5</v>
      </c>
      <c r="Q40" s="94" t="str">
        <f>E40</f>
        <v>Requires building information</v>
      </c>
      <c r="R40" s="94" t="str">
        <f>F40</f>
        <v>Requires building information</v>
      </c>
      <c r="S40" s="94" t="e">
        <f>IF(B30=S132,0,IF(OR($D$40="",$D$40=Q130,$D$40=Q132),0,$P$40*$Q$40*$R$40*(VLOOKUP(B13,'Activity database'!$A:$BA,7,FALSE)))*(D41/(D35+D38+D41)))</f>
        <v>#DIV/0!</v>
      </c>
      <c r="T40" s="117"/>
      <c r="U40" s="117"/>
      <c r="V40" s="117"/>
      <c r="W40" s="117"/>
      <c r="X40" s="117"/>
      <c r="Y40" s="117"/>
      <c r="Z40" s="117"/>
      <c r="AA40" s="117"/>
      <c r="AB40" s="117"/>
      <c r="AD40" s="117"/>
      <c r="AO40" s="117"/>
    </row>
    <row r="41" spans="1:41" ht="15" customHeight="1" x14ac:dyDescent="0.3">
      <c r="A41" s="293" t="str">
        <f>IF(AND(D40=Q131,D41=""),"&gt;","")</f>
        <v/>
      </c>
      <c r="B41" s="553"/>
      <c r="C41" s="95" t="s">
        <v>729</v>
      </c>
      <c r="D41" s="221"/>
      <c r="E41" s="87"/>
      <c r="F41" s="87"/>
      <c r="G41" s="87"/>
      <c r="H41" s="545"/>
      <c r="I41" s="545"/>
      <c r="J41" s="545"/>
      <c r="K41" s="545"/>
      <c r="L41" s="545"/>
      <c r="M41" s="545"/>
      <c r="N41" s="415"/>
      <c r="O41" s="117"/>
      <c r="P41" s="117"/>
      <c r="Q41" s="117"/>
      <c r="R41" s="117"/>
      <c r="S41" s="117"/>
      <c r="T41" s="117"/>
      <c r="U41" s="87"/>
      <c r="V41" s="87"/>
      <c r="W41" s="87"/>
      <c r="X41" s="87"/>
      <c r="Y41" s="87"/>
      <c r="Z41" s="87"/>
      <c r="AA41" s="87"/>
      <c r="AB41" s="87"/>
      <c r="AD41" s="117"/>
      <c r="AO41" s="117"/>
    </row>
    <row r="42" spans="1:41" ht="18" customHeight="1" x14ac:dyDescent="0.3">
      <c r="A42" s="87"/>
      <c r="B42" s="87"/>
      <c r="C42" s="87"/>
      <c r="D42" s="87"/>
      <c r="E42" s="87"/>
      <c r="F42" s="87"/>
      <c r="G42" s="88"/>
      <c r="H42" s="545"/>
      <c r="I42" s="545"/>
      <c r="J42" s="545"/>
      <c r="K42" s="545"/>
      <c r="L42" s="545"/>
      <c r="M42" s="545"/>
      <c r="N42" s="415"/>
      <c r="O42" s="117"/>
      <c r="P42" s="87"/>
      <c r="Q42" s="87"/>
      <c r="R42" s="87"/>
      <c r="S42" s="87"/>
      <c r="T42" s="87"/>
      <c r="U42" s="87"/>
      <c r="V42" s="87"/>
      <c r="W42" s="87"/>
      <c r="X42" s="87"/>
      <c r="Y42" s="87"/>
      <c r="Z42" s="87"/>
      <c r="AA42" s="87"/>
      <c r="AB42" s="87"/>
      <c r="AD42" s="117"/>
      <c r="AO42" s="117"/>
    </row>
    <row r="43" spans="1:41" ht="25" customHeight="1" x14ac:dyDescent="0.3">
      <c r="A43" s="87"/>
      <c r="B43" s="87"/>
      <c r="C43" s="444" t="s">
        <v>713</v>
      </c>
      <c r="D43" s="444" t="s">
        <v>714</v>
      </c>
      <c r="E43" s="444" t="s">
        <v>715</v>
      </c>
      <c r="F43" s="444" t="s">
        <v>716</v>
      </c>
      <c r="G43" s="444" t="s">
        <v>717</v>
      </c>
      <c r="I43" s="87"/>
      <c r="J43" s="117"/>
      <c r="K43" s="117"/>
      <c r="L43" s="117"/>
      <c r="M43" s="117"/>
      <c r="N43" s="117"/>
      <c r="O43" s="117"/>
      <c r="P43" s="87"/>
      <c r="Q43" s="87"/>
      <c r="R43" s="87"/>
      <c r="S43" s="87"/>
      <c r="T43" s="87"/>
      <c r="U43" s="87"/>
      <c r="V43" s="87"/>
      <c r="W43" s="87"/>
      <c r="X43" s="87"/>
      <c r="Y43" s="87"/>
      <c r="Z43" s="87"/>
      <c r="AA43" s="87"/>
      <c r="AB43" s="87"/>
      <c r="AD43" s="117"/>
      <c r="AO43" s="117"/>
    </row>
    <row r="44" spans="1:41" ht="25" customHeight="1" x14ac:dyDescent="0.3">
      <c r="A44" s="87"/>
      <c r="B44" s="425" t="s">
        <v>733</v>
      </c>
      <c r="C44" s="431"/>
      <c r="D44" s="431"/>
      <c r="E44" s="431"/>
      <c r="F44" s="431"/>
      <c r="G44" s="432"/>
      <c r="I44" s="87"/>
      <c r="J44" s="117"/>
      <c r="K44" s="117"/>
      <c r="L44" s="117"/>
      <c r="M44" s="117"/>
      <c r="N44" s="117"/>
      <c r="O44" s="116" t="s">
        <v>733</v>
      </c>
      <c r="P44" s="284" t="s">
        <v>734</v>
      </c>
      <c r="Q44" s="284" t="s">
        <v>715</v>
      </c>
      <c r="R44" s="284" t="s">
        <v>716</v>
      </c>
      <c r="S44" s="112" t="s">
        <v>719</v>
      </c>
      <c r="T44" s="117"/>
      <c r="U44" s="87"/>
      <c r="V44" s="87"/>
      <c r="W44" s="87"/>
      <c r="X44" s="87"/>
      <c r="Y44" s="87"/>
      <c r="Z44" s="87"/>
      <c r="AA44" s="87"/>
      <c r="AB44" s="87"/>
      <c r="AD44" s="117"/>
      <c r="AO44" s="117"/>
    </row>
    <row r="45" spans="1:41" ht="15" customHeight="1" x14ac:dyDescent="0.3">
      <c r="A45" s="87"/>
      <c r="B45" s="103" t="str">
        <f>'Activity database'!M3</f>
        <v>Wash hand basin taps</v>
      </c>
      <c r="C45" s="94" t="s">
        <v>735</v>
      </c>
      <c r="D45" s="221"/>
      <c r="E45" s="94" t="str">
        <f>IF(B13=R130,R138,VLOOKUP($B$13,'Activity database'!$A:$AN,13,FALSE))</f>
        <v>Requires building information</v>
      </c>
      <c r="F45" s="94" t="str">
        <f>IF(B13=R130,R138,VLOOKUP($B$13,'Activity database'!$A:$AN,29,FALSE))</f>
        <v>Requires building information</v>
      </c>
      <c r="G45" s="92" t="str">
        <f>IF(ISERROR(IF(B13=R130,R138,(D45*E45*F45)*VLOOKUP(B13,'Activity database'!A:AR,44,FALSE))),R138,IF(B13=R130,R138,(D45*E45*F45)*VLOOKUP(B13,'Activity database'!A:AR,44,FALSE)))</f>
        <v>Requires building information</v>
      </c>
      <c r="I45" s="117"/>
      <c r="J45" s="117"/>
      <c r="K45" s="117"/>
      <c r="L45" s="117"/>
      <c r="M45" s="117"/>
      <c r="N45" s="117"/>
      <c r="O45" s="277" t="str">
        <f t="shared" ref="O45:O50" si="1">B45</f>
        <v>Wash hand basin taps</v>
      </c>
      <c r="P45" s="278">
        <f>IF($D$45="",0,VLOOKUP($O$45,'Activity database'!$AT:$BA,2,FALSE))</f>
        <v>0</v>
      </c>
      <c r="Q45" s="278" t="str">
        <f t="shared" ref="Q45:R49" si="2">E45</f>
        <v>Requires building information</v>
      </c>
      <c r="R45" s="278" t="str">
        <f t="shared" si="2"/>
        <v>Requires building information</v>
      </c>
      <c r="S45" s="94">
        <f>IF($D$45="",0,(P45*$Q$45*$R$45)*(VLOOKUP($B$13,'Activity database'!$A:$AR,44,FALSE)))</f>
        <v>0</v>
      </c>
      <c r="T45" s="117"/>
      <c r="U45" s="87"/>
      <c r="V45" s="87"/>
      <c r="W45" s="87"/>
      <c r="X45" s="87"/>
      <c r="Y45" s="87"/>
      <c r="Z45" s="87"/>
      <c r="AA45" s="87"/>
      <c r="AB45" s="87"/>
      <c r="AD45" s="117"/>
      <c r="AO45" s="117"/>
    </row>
    <row r="46" spans="1:41" ht="15" customHeight="1" x14ac:dyDescent="0.3">
      <c r="A46" s="293"/>
      <c r="B46" s="103" t="str">
        <f>'Activity database'!N3</f>
        <v>Shower use</v>
      </c>
      <c r="C46" s="94" t="s">
        <v>735</v>
      </c>
      <c r="D46" s="221"/>
      <c r="E46" s="104" t="str">
        <f>IF(B13=R130,R138,VLOOKUP($B$13,'Activity database'!$A:$AN,14,FALSE))</f>
        <v>Requires building information</v>
      </c>
      <c r="F46" s="94" t="str">
        <f>IF(B13=R130,R138,VLOOKUP($B$13,'Activity database'!$A:$AN,30,FALSE))</f>
        <v>Requires building information</v>
      </c>
      <c r="G46" s="92" t="str">
        <f>IF(ISERROR(IF(B13=R130,R138,IF(B46=R130,R138,D46*E46*F46))),R138,IF(B13=R130,R138,IF(B46=R130,R138,D46*E46*F46)))</f>
        <v>Requires building information</v>
      </c>
      <c r="I46" s="117"/>
      <c r="J46" s="117"/>
      <c r="K46" s="117"/>
      <c r="L46" s="117"/>
      <c r="M46" s="117"/>
      <c r="N46" s="117"/>
      <c r="O46" s="96" t="str">
        <f t="shared" si="1"/>
        <v>Shower use</v>
      </c>
      <c r="P46" s="97">
        <f>IF($D$46="",0,'Activity database'!AU8)</f>
        <v>0</v>
      </c>
      <c r="Q46" s="98" t="str">
        <f t="shared" si="2"/>
        <v>Requires building information</v>
      </c>
      <c r="R46" s="98" t="str">
        <f t="shared" si="2"/>
        <v>Requires building information</v>
      </c>
      <c r="S46" s="94">
        <f>IF($D$46="",0,P46*$Q$46*$R$46)</f>
        <v>0</v>
      </c>
      <c r="T46" s="117"/>
      <c r="U46" s="87"/>
      <c r="V46" s="87"/>
      <c r="W46" s="87"/>
      <c r="X46" s="87"/>
      <c r="Y46" s="87"/>
      <c r="Z46" s="87"/>
      <c r="AA46" s="87"/>
      <c r="AB46" s="87"/>
      <c r="AD46" s="117"/>
      <c r="AO46" s="117"/>
    </row>
    <row r="47" spans="1:41" ht="15" hidden="1" customHeight="1" x14ac:dyDescent="0.3">
      <c r="A47" s="246" t="s">
        <v>831</v>
      </c>
      <c r="B47" s="96" t="str">
        <f>'Activity database'!O3</f>
        <v>Shower use (bath present)</v>
      </c>
      <c r="C47" s="97" t="s">
        <v>735</v>
      </c>
      <c r="D47" s="216"/>
      <c r="E47" s="97" t="e">
        <f>VLOOKUP($B$13,'Activity database'!$A:$AN,15,FALSE)</f>
        <v>#N/A</v>
      </c>
      <c r="F47" s="97" t="e">
        <f>VLOOKUP($B$13,'Activity database'!$A:$AN,31,FALSE)</f>
        <v>#N/A</v>
      </c>
      <c r="G47" s="92" t="e">
        <f>IF(E47="N/A",0,D47*E47*F47)</f>
        <v>#N/A</v>
      </c>
      <c r="H47" s="419" t="s">
        <v>831</v>
      </c>
      <c r="I47" s="117"/>
      <c r="J47" s="117"/>
      <c r="K47" s="117"/>
      <c r="L47" s="117"/>
      <c r="M47" s="117"/>
      <c r="N47" s="117"/>
      <c r="O47" s="96" t="str">
        <f t="shared" si="1"/>
        <v>Shower use (bath present)</v>
      </c>
      <c r="P47" s="97">
        <f>IF($D$47="",0,'Activity database'!AU8)</f>
        <v>0</v>
      </c>
      <c r="Q47" s="98" t="e">
        <f t="shared" si="2"/>
        <v>#N/A</v>
      </c>
      <c r="R47" s="98" t="e">
        <f t="shared" si="2"/>
        <v>#N/A</v>
      </c>
      <c r="S47" s="94">
        <f>IF($D$47="",0,P47*$Q$47*$R$47)</f>
        <v>0</v>
      </c>
      <c r="T47" s="117"/>
      <c r="U47" s="87"/>
      <c r="V47" s="87"/>
      <c r="W47" s="87"/>
      <c r="X47" s="87"/>
      <c r="Y47" s="87"/>
      <c r="Z47" s="87"/>
      <c r="AA47" s="87"/>
      <c r="AB47" s="87"/>
      <c r="AD47" s="117"/>
      <c r="AO47" s="117"/>
    </row>
    <row r="48" spans="1:41" ht="15" hidden="1" customHeight="1" x14ac:dyDescent="0.3">
      <c r="A48" s="246" t="s">
        <v>831</v>
      </c>
      <c r="B48" s="96" t="str">
        <f>'Activity database'!P3</f>
        <v xml:space="preserve">Bath use (no shower present) </v>
      </c>
      <c r="C48" s="97" t="s">
        <v>737</v>
      </c>
      <c r="D48" s="216"/>
      <c r="E48" s="97" t="e">
        <f>VLOOKUP($B$13,'Activity database'!$A:$AN,16,FALSE)</f>
        <v>#N/A</v>
      </c>
      <c r="F48" s="97" t="e">
        <f>VLOOKUP($B$13,'Activity database'!$A:$AN,32,FALSE)</f>
        <v>#N/A</v>
      </c>
      <c r="G48" s="92" t="e">
        <f>IF(E48="n/a",0,((D48*E48*F48)*'Activity database'!AQ4))</f>
        <v>#N/A</v>
      </c>
      <c r="H48" s="419" t="s">
        <v>831</v>
      </c>
      <c r="I48" s="117"/>
      <c r="J48" s="117"/>
      <c r="K48" s="117"/>
      <c r="L48" s="117"/>
      <c r="M48" s="117"/>
      <c r="N48" s="117"/>
      <c r="O48" s="96" t="str">
        <f t="shared" si="1"/>
        <v xml:space="preserve">Bath use (no shower present) </v>
      </c>
      <c r="P48" s="97">
        <f>IF($D$48="",0,'Activity database'!AU9)</f>
        <v>0</v>
      </c>
      <c r="Q48" s="97" t="e">
        <f t="shared" si="2"/>
        <v>#N/A</v>
      </c>
      <c r="R48" s="97" t="e">
        <f t="shared" si="2"/>
        <v>#N/A</v>
      </c>
      <c r="S48" s="94">
        <f>IF($D$48="",0,((P48*$Q$48*$R$48)*(VLOOKUP($B$13,'Activity database'!$A:$AR,43,FALSE))))</f>
        <v>0</v>
      </c>
      <c r="T48" s="117"/>
      <c r="U48" s="87"/>
      <c r="V48" s="87"/>
      <c r="W48" s="87"/>
      <c r="X48" s="87"/>
      <c r="Y48" s="87"/>
      <c r="Z48" s="87"/>
      <c r="AA48" s="87"/>
      <c r="AB48" s="87"/>
      <c r="AD48" s="117"/>
      <c r="AO48" s="117"/>
    </row>
    <row r="49" spans="1:41" ht="15" hidden="1" customHeight="1" x14ac:dyDescent="0.3">
      <c r="A49" s="246" t="s">
        <v>831</v>
      </c>
      <c r="B49" s="96" t="str">
        <f>'Activity database'!Q3</f>
        <v>Bath use (shower present)</v>
      </c>
      <c r="C49" s="97" t="s">
        <v>737</v>
      </c>
      <c r="D49" s="216"/>
      <c r="E49" s="97" t="e">
        <f>VLOOKUP($B$13,'Activity database'!$A:$AN,17,FALSE)</f>
        <v>#N/A</v>
      </c>
      <c r="F49" s="97" t="e">
        <f>VLOOKUP($B$13,'Activity database'!$A:$AN,33,FALSE)</f>
        <v>#N/A</v>
      </c>
      <c r="G49" s="92" t="e">
        <f>IF(E49="n/a",0,((D49*E49*F49)*'Activity database'!AQ4))</f>
        <v>#N/A</v>
      </c>
      <c r="H49" s="419" t="s">
        <v>831</v>
      </c>
      <c r="I49" s="117"/>
      <c r="J49" s="117"/>
      <c r="K49" s="117"/>
      <c r="L49" s="117"/>
      <c r="M49" s="117"/>
      <c r="N49" s="117"/>
      <c r="O49" s="96" t="str">
        <f t="shared" si="1"/>
        <v>Bath use (shower present)</v>
      </c>
      <c r="P49" s="97">
        <f>IF($D$49="",0,'Activity database'!AU9)</f>
        <v>0</v>
      </c>
      <c r="Q49" s="97" t="e">
        <f t="shared" si="2"/>
        <v>#N/A</v>
      </c>
      <c r="R49" s="97" t="e">
        <f t="shared" si="2"/>
        <v>#N/A</v>
      </c>
      <c r="S49" s="94">
        <f>IF($D$49="",0,((P49*$Q$49*$R$49)*(VLOOKUP($B$13,'Activity database'!$A:$AR,43,FALSE))))</f>
        <v>0</v>
      </c>
      <c r="T49" s="117"/>
      <c r="U49" s="87"/>
      <c r="V49" s="87"/>
      <c r="W49" s="87"/>
      <c r="X49" s="87"/>
      <c r="Y49" s="87"/>
      <c r="Z49" s="87"/>
      <c r="AA49" s="87"/>
      <c r="AB49" s="87"/>
      <c r="AD49" s="117"/>
      <c r="AO49" s="117"/>
    </row>
    <row r="50" spans="1:41" ht="15" customHeight="1" x14ac:dyDescent="0.3">
      <c r="A50" s="87"/>
      <c r="B50" s="162" t="str">
        <f>'Activity database'!X3</f>
        <v>Fixed use - vessel filling</v>
      </c>
      <c r="C50" s="163" t="s">
        <v>738</v>
      </c>
      <c r="D50" s="163" t="s">
        <v>515</v>
      </c>
      <c r="E50" s="164" t="s">
        <v>515</v>
      </c>
      <c r="F50" s="163" t="s">
        <v>515</v>
      </c>
      <c r="G50" s="165" t="str">
        <f>IF(ISERROR(VLOOKUP(B13,'Activity database'!A:BA,24,FALSE)),R138,VLOOKUP(B13,'Activity database'!A:BA,24,FALSE))</f>
        <v>Requires building information</v>
      </c>
      <c r="H50" s="560"/>
      <c r="I50" s="544"/>
      <c r="J50" s="544"/>
      <c r="K50" s="544"/>
      <c r="L50" s="544"/>
      <c r="M50" s="544"/>
      <c r="N50" s="420"/>
      <c r="O50" s="96" t="str">
        <f t="shared" si="1"/>
        <v>Fixed use - vessel filling</v>
      </c>
      <c r="P50" s="97" t="s">
        <v>517</v>
      </c>
      <c r="Q50" s="97" t="s">
        <v>517</v>
      </c>
      <c r="R50" s="97" t="s">
        <v>517</v>
      </c>
      <c r="S50" s="94" t="str">
        <f>$G$50</f>
        <v>Requires building information</v>
      </c>
      <c r="T50" s="117"/>
      <c r="U50" s="87"/>
      <c r="V50" s="87"/>
      <c r="W50" s="87"/>
      <c r="X50" s="87"/>
      <c r="Y50" s="87"/>
      <c r="Z50" s="87"/>
      <c r="AA50" s="87"/>
      <c r="AB50" s="87"/>
      <c r="AD50" s="117"/>
      <c r="AO50" s="117"/>
    </row>
    <row r="51" spans="1:41" ht="25" customHeight="1" x14ac:dyDescent="0.3">
      <c r="A51" s="87"/>
      <c r="B51" s="425" t="s">
        <v>739</v>
      </c>
      <c r="C51" s="431"/>
      <c r="D51" s="431"/>
      <c r="E51" s="431"/>
      <c r="F51" s="431"/>
      <c r="G51" s="432"/>
      <c r="H51" s="560"/>
      <c r="I51" s="544"/>
      <c r="J51" s="544"/>
      <c r="K51" s="544"/>
      <c r="L51" s="544"/>
      <c r="M51" s="544"/>
      <c r="N51" s="420"/>
      <c r="O51" s="116" t="s">
        <v>739</v>
      </c>
      <c r="P51" s="281"/>
      <c r="Q51" s="281"/>
      <c r="R51" s="281"/>
      <c r="S51" s="282"/>
      <c r="T51" s="117"/>
      <c r="U51" s="87"/>
      <c r="V51" s="87"/>
      <c r="W51" s="87"/>
      <c r="X51" s="87"/>
      <c r="Y51" s="87"/>
      <c r="Z51" s="87"/>
      <c r="AA51" s="87"/>
      <c r="AB51" s="87"/>
      <c r="AD51" s="117"/>
      <c r="AO51" s="117"/>
    </row>
    <row r="52" spans="1:41" ht="15" customHeight="1" x14ac:dyDescent="0.3">
      <c r="A52" s="87"/>
      <c r="B52" s="166" t="str">
        <f>'Activity database'!R3</f>
        <v>Kitchen taps - kitchenette</v>
      </c>
      <c r="C52" s="167" t="s">
        <v>735</v>
      </c>
      <c r="D52" s="223"/>
      <c r="E52" s="167" t="str">
        <f>IF(B13=R130,R138,VLOOKUP($B$22,'Activity database'!$A:$AN,18,FALSE))</f>
        <v>Requires building information</v>
      </c>
      <c r="F52" s="167">
        <f>VLOOKUP($B$22,'Activity database'!$A:$AN,34,FALSE)</f>
        <v>0.67</v>
      </c>
      <c r="G52" s="168" t="str">
        <f>IF(ISERROR(IF(B13=R130,R138,(D52*E52*F52)*(VLOOKUP(B13,'Activity database'!A:AR,44,FALSE)))),R138,IF(B13=R130,R138,(D52*E52*F52)*(VLOOKUP(B13,'Activity database'!A:AR,44,FALSE))))</f>
        <v>Requires building information</v>
      </c>
      <c r="I52" s="117"/>
      <c r="J52" s="117"/>
      <c r="K52" s="117"/>
      <c r="L52" s="117"/>
      <c r="M52" s="117"/>
      <c r="N52" s="117"/>
      <c r="O52" s="96" t="str">
        <f>B52</f>
        <v>Kitchen taps - kitchenette</v>
      </c>
      <c r="P52" s="97">
        <f>IF($D$52="",0,VLOOKUP($O$52,'Activity database'!$AT:$BA,2,FALSE))</f>
        <v>0</v>
      </c>
      <c r="Q52" s="97" t="str">
        <f>E52</f>
        <v>Requires building information</v>
      </c>
      <c r="R52" s="97">
        <f>F52</f>
        <v>0.67</v>
      </c>
      <c r="S52" s="94">
        <f>IF($D$52="",0,(P52*$Q$52*$R$52)*(VLOOKUP($B$13,'Activity database'!$A:$AR,44,FALSE)))</f>
        <v>0</v>
      </c>
      <c r="T52" s="117"/>
      <c r="U52" s="87"/>
      <c r="V52" s="87"/>
      <c r="W52" s="87"/>
      <c r="X52" s="87"/>
      <c r="Y52" s="87"/>
      <c r="Z52" s="87"/>
      <c r="AA52" s="87"/>
      <c r="AB52" s="87"/>
      <c r="AD52" s="117"/>
      <c r="AO52" s="117"/>
    </row>
    <row r="53" spans="1:41" ht="15" customHeight="1" x14ac:dyDescent="0.3">
      <c r="A53" s="87"/>
      <c r="B53" s="103" t="str">
        <f>'Activity database'!U3</f>
        <v>Dishwasher</v>
      </c>
      <c r="C53" s="94" t="s">
        <v>740</v>
      </c>
      <c r="D53" s="224"/>
      <c r="E53" s="296" t="str">
        <f>IF(B13=R130,R138,VLOOKUP($B$22,'Activity database'!$A:$AN,21,FALSE))</f>
        <v>Requires building information</v>
      </c>
      <c r="F53" s="97">
        <f>VLOOKUP($B$22,'Activity database'!$A:$AN,37,FALSE)</f>
        <v>1</v>
      </c>
      <c r="G53" s="94" t="str">
        <f>IF(ISERROR(IF(B13=R130,R138,D53*E53*F53)),R138,IF(B13=R130,R138,D53*E53*F53))</f>
        <v>Requires building information</v>
      </c>
      <c r="I53" s="117"/>
      <c r="J53" s="117"/>
      <c r="K53" s="117"/>
      <c r="L53" s="117"/>
      <c r="M53" s="117"/>
      <c r="N53" s="117"/>
      <c r="O53" s="96" t="str">
        <f>B53</f>
        <v>Dishwasher</v>
      </c>
      <c r="P53" s="97">
        <f>IF($D$53="",0,'Activity database'!AU16)</f>
        <v>0</v>
      </c>
      <c r="Q53" s="97" t="str">
        <f>E53</f>
        <v>Requires building information</v>
      </c>
      <c r="R53" s="97">
        <f>F53</f>
        <v>1</v>
      </c>
      <c r="S53" s="94" t="e">
        <f>P53*$Q$53*$R$53</f>
        <v>#VALUE!</v>
      </c>
      <c r="T53" s="117"/>
      <c r="U53" s="87"/>
      <c r="V53" s="87"/>
      <c r="W53" s="87"/>
      <c r="X53" s="87"/>
      <c r="Y53" s="87"/>
      <c r="Z53" s="87"/>
      <c r="AA53" s="87"/>
      <c r="AB53" s="87"/>
      <c r="AD53" s="117"/>
      <c r="AO53" s="117"/>
    </row>
    <row r="54" spans="1:41" ht="25" customHeight="1" x14ac:dyDescent="0.3">
      <c r="A54" s="87"/>
      <c r="B54" s="430" t="s">
        <v>741</v>
      </c>
      <c r="C54" s="431"/>
      <c r="D54" s="431"/>
      <c r="E54" s="431"/>
      <c r="F54" s="431"/>
      <c r="G54" s="432"/>
      <c r="I54" s="117"/>
      <c r="J54" s="117"/>
      <c r="K54" s="117"/>
      <c r="L54" s="117"/>
      <c r="M54" s="117"/>
      <c r="N54" s="117"/>
      <c r="O54" s="116" t="s">
        <v>832</v>
      </c>
      <c r="P54" s="281"/>
      <c r="Q54" s="281"/>
      <c r="R54" s="281"/>
      <c r="S54" s="282"/>
      <c r="T54" s="117"/>
      <c r="U54" s="87"/>
      <c r="V54" s="87"/>
      <c r="W54" s="87"/>
      <c r="X54" s="87"/>
      <c r="Y54" s="87"/>
      <c r="Z54" s="87"/>
      <c r="AA54" s="87"/>
      <c r="AB54" s="87"/>
      <c r="AD54" s="117"/>
      <c r="AO54" s="117"/>
    </row>
    <row r="55" spans="1:41" ht="15" customHeight="1" x14ac:dyDescent="0.3">
      <c r="A55" s="87"/>
      <c r="B55" s="103" t="str">
        <f>'Activity database'!S3</f>
        <v>Kitchen taps - pre-rinse nozzle</v>
      </c>
      <c r="C55" s="102" t="s">
        <v>735</v>
      </c>
      <c r="D55" s="224"/>
      <c r="E55" s="97" t="s">
        <v>515</v>
      </c>
      <c r="F55" s="97">
        <f>VLOOKUP($B$23,'Activity database'!A:BO,35,FALSE)</f>
        <v>60</v>
      </c>
      <c r="G55" s="94" t="str">
        <f>IF(ISERROR((D55*F55)/O140),R138,((D55*F55)/O140))</f>
        <v>Requires building information</v>
      </c>
      <c r="I55" s="117"/>
      <c r="J55" s="117"/>
      <c r="K55" s="117"/>
      <c r="L55" s="117"/>
      <c r="M55" s="117"/>
      <c r="N55" s="117"/>
      <c r="O55" s="96" t="str">
        <f t="shared" ref="O55:O60" si="3">B55</f>
        <v>Kitchen taps - pre-rinse nozzle</v>
      </c>
      <c r="P55" s="97">
        <f>IF($D$55="",0,VLOOKUP($O$55,'Activity database'!$AT:$BA,2,FALSE))</f>
        <v>0</v>
      </c>
      <c r="Q55" s="97" t="str">
        <f t="shared" ref="Q55:R58" si="4">E55</f>
        <v>-</v>
      </c>
      <c r="R55" s="97">
        <f t="shared" si="4"/>
        <v>60</v>
      </c>
      <c r="S55" s="94">
        <f>IF($D$55="",0,(P55*$R$55)/$O$140)</f>
        <v>0</v>
      </c>
      <c r="T55" s="117"/>
      <c r="U55" s="87"/>
      <c r="V55" s="87"/>
      <c r="W55" s="87"/>
      <c r="X55" s="87"/>
      <c r="Y55" s="87"/>
      <c r="Z55" s="87"/>
      <c r="AA55" s="87"/>
      <c r="AB55" s="87"/>
      <c r="AD55" s="117"/>
      <c r="AO55" s="117"/>
    </row>
    <row r="56" spans="1:41" ht="15" customHeight="1" x14ac:dyDescent="0.3">
      <c r="A56" s="87"/>
      <c r="B56" s="103" t="str">
        <f>'Activity database'!U3</f>
        <v>Dishwasher</v>
      </c>
      <c r="C56" s="102" t="s">
        <v>742</v>
      </c>
      <c r="D56" s="224"/>
      <c r="E56" s="97" t="s">
        <v>515</v>
      </c>
      <c r="F56" s="98">
        <f>VLOOKUP($B$23,'Activity database'!A:BO,37,FALSE)</f>
        <v>0.248</v>
      </c>
      <c r="G56" s="94" t="str">
        <f>IF(ISERROR((F56*G23*D56)/O140),R138,((F56*G23*D56)/O140))</f>
        <v>Requires building information</v>
      </c>
      <c r="I56" s="117"/>
      <c r="J56" s="117"/>
      <c r="K56" s="117"/>
      <c r="L56" s="117"/>
      <c r="M56" s="117"/>
      <c r="N56" s="117"/>
      <c r="O56" s="96" t="str">
        <f t="shared" si="3"/>
        <v>Dishwasher</v>
      </c>
      <c r="P56" s="97">
        <f>IF($D$56="",0,'Activity database'!AU19)</f>
        <v>0</v>
      </c>
      <c r="Q56" s="97" t="str">
        <f t="shared" si="4"/>
        <v>-</v>
      </c>
      <c r="R56" s="97">
        <f t="shared" si="4"/>
        <v>0.248</v>
      </c>
      <c r="S56" s="94">
        <f>IF($D$56="",0,($R$56*$G$23*P56)/$O$140)</f>
        <v>0</v>
      </c>
      <c r="T56" s="117"/>
      <c r="U56" s="87"/>
      <c r="V56" s="87"/>
      <c r="W56" s="87"/>
      <c r="X56" s="87"/>
      <c r="Y56" s="87"/>
      <c r="Z56" s="87"/>
      <c r="AA56" s="87"/>
      <c r="AB56" s="87"/>
      <c r="AD56" s="117"/>
      <c r="AO56" s="117"/>
    </row>
    <row r="57" spans="1:41" ht="15" customHeight="1" x14ac:dyDescent="0.3">
      <c r="A57" s="87"/>
      <c r="B57" s="103" t="str">
        <f>'Activity database'!W3</f>
        <v>Waste disposal unit</v>
      </c>
      <c r="C57" s="102" t="s">
        <v>735</v>
      </c>
      <c r="D57" s="224"/>
      <c r="E57" s="97" t="s">
        <v>515</v>
      </c>
      <c r="F57" s="97">
        <f>VLOOKUP($B$23,'Activity database'!A:BO,39,FALSE)</f>
        <v>30</v>
      </c>
      <c r="G57" s="94" t="str">
        <f>IF(ISERROR((D57*F57)/O140),R138,((D57*F57)/O140))</f>
        <v>Requires building information</v>
      </c>
      <c r="I57" s="117"/>
      <c r="J57" s="117"/>
      <c r="K57" s="117"/>
      <c r="L57" s="117"/>
      <c r="M57" s="117"/>
      <c r="N57" s="117"/>
      <c r="O57" s="96" t="str">
        <f t="shared" si="3"/>
        <v>Waste disposal unit</v>
      </c>
      <c r="P57" s="97">
        <f>IF($D$57="",0,VLOOKUP($O$57,'Activity database'!$AT:$BA,2,FALSE))</f>
        <v>0</v>
      </c>
      <c r="Q57" s="97" t="str">
        <f t="shared" si="4"/>
        <v>-</v>
      </c>
      <c r="R57" s="97">
        <f t="shared" si="4"/>
        <v>30</v>
      </c>
      <c r="S57" s="94">
        <f>IF($D$57="",0,(P57*$R$57)/$O$140)</f>
        <v>0</v>
      </c>
      <c r="T57" s="117"/>
      <c r="U57" s="87"/>
      <c r="V57" s="87"/>
      <c r="W57" s="87"/>
      <c r="X57" s="87"/>
      <c r="Y57" s="87"/>
      <c r="Z57" s="87"/>
      <c r="AA57" s="87"/>
      <c r="AB57" s="87"/>
      <c r="AD57" s="117"/>
      <c r="AO57" s="117"/>
    </row>
    <row r="58" spans="1:41" ht="15" hidden="1" customHeight="1" x14ac:dyDescent="0.3">
      <c r="A58" s="246" t="s">
        <v>831</v>
      </c>
      <c r="B58" s="103" t="str">
        <f>'Activity database'!V3</f>
        <v>Washing machine</v>
      </c>
      <c r="C58" s="102" t="s">
        <v>744</v>
      </c>
      <c r="D58" s="217"/>
      <c r="E58" s="97" t="e">
        <f>VLOOKUP($B$13,'Activity database'!$A:$AN,22,FALSE)</f>
        <v>#N/A</v>
      </c>
      <c r="F58" s="97" t="e">
        <f>VLOOKUP($B$13,'Activity database'!$A:$AN,38,FALSE)</f>
        <v>#N/A</v>
      </c>
      <c r="G58" s="94" t="str">
        <f>IF(ISERROR(IF(E58="N/A",0,IF(F23="Yes",(D58*E58*F58),0))),R138,IF(E58="N/A",0,IF(F23="Yes",(D58*E58*F58),0)))</f>
        <v>Requires building information</v>
      </c>
      <c r="H58" s="419" t="s">
        <v>831</v>
      </c>
      <c r="I58" s="117"/>
      <c r="J58" s="117"/>
      <c r="K58" s="117"/>
      <c r="L58" s="117"/>
      <c r="M58" s="117"/>
      <c r="N58" s="117"/>
      <c r="O58" s="96" t="str">
        <f t="shared" si="3"/>
        <v>Washing machine</v>
      </c>
      <c r="P58" s="97">
        <f>IF($D$58="",0,'Activity database'!AU20)</f>
        <v>0</v>
      </c>
      <c r="Q58" s="97" t="e">
        <f t="shared" si="4"/>
        <v>#N/A</v>
      </c>
      <c r="R58" s="97" t="e">
        <f t="shared" si="4"/>
        <v>#N/A</v>
      </c>
      <c r="S58" s="94">
        <f>IF($D$58="",0,IF($F$23="Yes",(P58*$Q$58*$R$58)))</f>
        <v>0</v>
      </c>
      <c r="T58" s="117"/>
      <c r="U58" s="87"/>
      <c r="V58" s="87"/>
      <c r="W58" s="87"/>
      <c r="X58" s="87"/>
      <c r="Y58" s="87"/>
      <c r="Z58" s="87"/>
      <c r="AA58" s="87"/>
      <c r="AB58" s="87"/>
      <c r="AD58" s="117"/>
      <c r="AO58" s="117"/>
    </row>
    <row r="59" spans="1:41" ht="15" customHeight="1" x14ac:dyDescent="0.3">
      <c r="A59" s="87"/>
      <c r="B59" s="103" t="str">
        <f>'Activity database'!Y3</f>
        <v>Fixed use - food preparation</v>
      </c>
      <c r="C59" s="102" t="s">
        <v>738</v>
      </c>
      <c r="D59" s="97" t="s">
        <v>515</v>
      </c>
      <c r="E59" s="97" t="s">
        <v>515</v>
      </c>
      <c r="F59" s="97" t="s">
        <v>515</v>
      </c>
      <c r="G59" s="94">
        <f>IF(ISERROR(IF(F23="Yes",(VLOOKUP(B23,'Activity database'!A:BO,25,FALSE)/O140),0)),R138,IF(F23="Yes",(VLOOKUP(B23,'Activity database'!A:BO,25,FALSE)/O140),0))</f>
        <v>0</v>
      </c>
      <c r="H59" s="560"/>
      <c r="I59" s="544"/>
      <c r="J59" s="544"/>
      <c r="K59" s="544"/>
      <c r="L59" s="544"/>
      <c r="M59" s="544"/>
      <c r="N59" s="420"/>
      <c r="O59" s="96" t="str">
        <f t="shared" si="3"/>
        <v>Fixed use - food preparation</v>
      </c>
      <c r="P59" s="97" t="s">
        <v>517</v>
      </c>
      <c r="Q59" s="97" t="str">
        <f>E59</f>
        <v>-</v>
      </c>
      <c r="R59" s="97" t="s">
        <v>517</v>
      </c>
      <c r="S59" s="94">
        <f>$G$59</f>
        <v>0</v>
      </c>
      <c r="T59" s="117"/>
      <c r="U59" s="87"/>
      <c r="V59" s="87"/>
      <c r="W59" s="87"/>
      <c r="X59" s="87"/>
      <c r="Y59" s="87"/>
      <c r="Z59" s="87"/>
      <c r="AA59" s="87"/>
      <c r="AB59" s="87"/>
      <c r="AD59" s="117"/>
      <c r="AO59" s="117"/>
    </row>
    <row r="60" spans="1:41" ht="15" customHeight="1" x14ac:dyDescent="0.3">
      <c r="A60" s="87"/>
      <c r="B60" s="103" t="str">
        <f>'Activity database'!Z3</f>
        <v>Fixed use - kitchen cleaning</v>
      </c>
      <c r="C60" s="102" t="s">
        <v>738</v>
      </c>
      <c r="D60" s="97" t="s">
        <v>515</v>
      </c>
      <c r="E60" s="97" t="s">
        <v>515</v>
      </c>
      <c r="F60" s="97" t="s">
        <v>515</v>
      </c>
      <c r="G60" s="94">
        <f>IF(ISERROR(IF(F23="Yes",(VLOOKUP(B23,'Activity database'!A:BO,26,FALSE)/O140),0)),R138,IF(F23="Yes",(VLOOKUP(B23,'Activity database'!A:BO,26,FALSE)/O140),0))</f>
        <v>0</v>
      </c>
      <c r="H60" s="560"/>
      <c r="I60" s="544"/>
      <c r="J60" s="544"/>
      <c r="K60" s="544"/>
      <c r="L60" s="544"/>
      <c r="M60" s="544"/>
      <c r="N60" s="420"/>
      <c r="O60" s="96" t="str">
        <f t="shared" si="3"/>
        <v>Fixed use - kitchen cleaning</v>
      </c>
      <c r="P60" s="97" t="s">
        <v>517</v>
      </c>
      <c r="Q60" s="97" t="str">
        <f>E60</f>
        <v>-</v>
      </c>
      <c r="R60" s="97" t="s">
        <v>517</v>
      </c>
      <c r="S60" s="94">
        <f>$G$60</f>
        <v>0</v>
      </c>
      <c r="T60" s="117"/>
      <c r="U60" s="87"/>
      <c r="V60" s="87"/>
      <c r="W60" s="87"/>
      <c r="X60" s="87"/>
      <c r="Y60" s="87"/>
      <c r="Z60" s="87"/>
      <c r="AA60" s="87"/>
      <c r="AB60" s="87"/>
      <c r="AD60" s="117"/>
      <c r="AO60" s="117"/>
    </row>
    <row r="61" spans="1:41" ht="15" customHeight="1" x14ac:dyDescent="0.3">
      <c r="A61" s="87"/>
      <c r="B61" s="87"/>
      <c r="C61" s="87"/>
      <c r="D61" s="87"/>
      <c r="E61" s="87"/>
      <c r="F61" s="87"/>
      <c r="G61" s="87"/>
      <c r="I61" s="117"/>
      <c r="J61" s="117"/>
      <c r="K61" s="117"/>
      <c r="L61" s="117"/>
      <c r="M61" s="117"/>
      <c r="N61" s="117"/>
      <c r="O61" s="117"/>
      <c r="P61" s="117"/>
      <c r="Q61" s="117"/>
      <c r="R61" s="117"/>
      <c r="S61" s="117"/>
      <c r="T61" s="117"/>
      <c r="U61" s="87"/>
      <c r="V61" s="87"/>
      <c r="W61" s="87"/>
      <c r="X61" s="87"/>
      <c r="Y61" s="87"/>
      <c r="Z61" s="87"/>
      <c r="AA61" s="87"/>
      <c r="AB61" s="87"/>
      <c r="AD61" s="117"/>
      <c r="AO61" s="117"/>
    </row>
    <row r="62" spans="1:41" ht="25" customHeight="1" x14ac:dyDescent="0.3">
      <c r="A62" s="87"/>
      <c r="B62" s="268"/>
      <c r="C62" s="87"/>
      <c r="D62" s="87"/>
      <c r="E62" s="87"/>
      <c r="F62" s="87"/>
      <c r="G62" s="444" t="s">
        <v>745</v>
      </c>
      <c r="H62" s="545" t="s">
        <v>746</v>
      </c>
      <c r="I62" s="545"/>
      <c r="J62" s="545"/>
      <c r="K62" s="545"/>
      <c r="L62" s="545"/>
      <c r="M62" s="545"/>
      <c r="N62" s="117"/>
      <c r="O62" s="117"/>
      <c r="P62" s="117"/>
      <c r="Q62" s="117"/>
      <c r="R62" s="87"/>
      <c r="S62" s="111" t="s">
        <v>719</v>
      </c>
      <c r="T62" s="117"/>
      <c r="U62" s="87"/>
      <c r="V62" s="87"/>
      <c r="W62" s="87"/>
      <c r="X62" s="87"/>
      <c r="Y62" s="87"/>
      <c r="Z62" s="87"/>
      <c r="AA62" s="87"/>
      <c r="AB62" s="87"/>
      <c r="AD62" s="117"/>
      <c r="AO62" s="117"/>
    </row>
    <row r="63" spans="1:41" ht="15" customHeight="1" x14ac:dyDescent="0.3">
      <c r="A63" s="87"/>
      <c r="B63" s="87"/>
      <c r="C63" s="87"/>
      <c r="D63" s="87"/>
      <c r="E63" s="87"/>
      <c r="F63" s="113" t="s">
        <v>748</v>
      </c>
      <c r="G63" s="92" t="str">
        <f>IF(OR(G30=R138,AND(F19=R132,F20=R132,F22=R132,F23=R132,F24=R132,F25=R132)),R138,(SUM(G30:G31)+G34+G37+G40+SUM(G45:G50)+SUM(G52:G53)+SUM(G55:G60)))</f>
        <v>Requires building information</v>
      </c>
      <c r="H63" s="545"/>
      <c r="I63" s="545"/>
      <c r="J63" s="545"/>
      <c r="K63" s="545"/>
      <c r="L63" s="545"/>
      <c r="M63" s="545"/>
      <c r="N63" s="117"/>
      <c r="O63" s="117"/>
      <c r="P63" s="117"/>
      <c r="Q63" s="117"/>
      <c r="R63" s="113" t="s">
        <v>749</v>
      </c>
      <c r="S63" s="92" t="e">
        <f>SUM(S30+S31)+S34+S37+S40+SUM(S45:S50)+SUM(S52:S53)+SUM(S55:S60)-S66</f>
        <v>#N/A</v>
      </c>
      <c r="T63" s="343"/>
      <c r="U63" s="87"/>
      <c r="V63" s="87"/>
      <c r="W63" s="87"/>
      <c r="X63" s="87"/>
      <c r="Y63" s="87"/>
      <c r="Z63" s="87"/>
      <c r="AA63" s="87"/>
      <c r="AB63" s="87"/>
      <c r="AD63" s="117"/>
      <c r="AO63" s="117"/>
    </row>
    <row r="64" spans="1:41" ht="25" customHeight="1" x14ac:dyDescent="0.3">
      <c r="A64" s="87"/>
      <c r="B64" s="87"/>
      <c r="C64" s="87"/>
      <c r="D64" s="110"/>
      <c r="E64" s="110"/>
      <c r="F64" s="110"/>
      <c r="G64" s="88"/>
      <c r="H64" s="545"/>
      <c r="I64" s="545"/>
      <c r="J64" s="545"/>
      <c r="K64" s="545"/>
      <c r="L64" s="545"/>
      <c r="M64" s="545"/>
      <c r="N64" s="117"/>
      <c r="O64" s="87"/>
      <c r="P64" s="110"/>
      <c r="Q64" s="122"/>
      <c r="R64" s="122"/>
      <c r="S64" s="122"/>
      <c r="T64" s="117"/>
      <c r="U64" s="87"/>
      <c r="V64" s="87"/>
      <c r="W64" s="87"/>
      <c r="X64" s="87"/>
      <c r="Y64" s="87"/>
      <c r="Z64" s="87"/>
      <c r="AA64" s="87"/>
      <c r="AB64" s="87"/>
      <c r="AD64" s="117"/>
      <c r="AO64" s="117"/>
    </row>
    <row r="65" spans="1:41" ht="32.15" customHeight="1" x14ac:dyDescent="0.3">
      <c r="A65" s="87"/>
      <c r="B65" s="422" t="s">
        <v>750</v>
      </c>
      <c r="C65" s="422"/>
      <c r="D65" s="422"/>
      <c r="E65" s="422"/>
      <c r="F65" s="422"/>
      <c r="G65" s="422"/>
      <c r="H65" s="545"/>
      <c r="I65" s="545"/>
      <c r="J65" s="545"/>
      <c r="K65" s="545"/>
      <c r="L65" s="545"/>
      <c r="M65" s="545"/>
      <c r="N65" s="117"/>
      <c r="O65" s="87"/>
      <c r="P65" s="87"/>
      <c r="Q65" s="117"/>
      <c r="R65" s="87"/>
      <c r="S65" s="111" t="s">
        <v>751</v>
      </c>
      <c r="T65" s="117"/>
      <c r="U65" s="87"/>
      <c r="V65" s="87"/>
      <c r="W65" s="87"/>
      <c r="X65" s="87"/>
      <c r="Y65" s="87"/>
      <c r="Z65" s="87"/>
      <c r="AA65" s="87"/>
      <c r="AB65" s="87"/>
      <c r="AD65" s="117"/>
      <c r="AO65" s="117"/>
    </row>
    <row r="66" spans="1:41" ht="25" customHeight="1" x14ac:dyDescent="0.3">
      <c r="A66" s="87"/>
      <c r="B66" s="87"/>
      <c r="C66" s="87"/>
      <c r="D66" s="87"/>
      <c r="E66" s="87"/>
      <c r="F66" s="87"/>
      <c r="G66" s="88"/>
      <c r="I66" s="117"/>
      <c r="J66" s="117"/>
      <c r="K66" s="117"/>
      <c r="L66" s="117"/>
      <c r="M66" s="117"/>
      <c r="N66" s="117"/>
      <c r="O66" s="87"/>
      <c r="P66" s="87"/>
      <c r="Q66" s="117"/>
      <c r="R66" s="253" t="s">
        <v>749</v>
      </c>
      <c r="S66" s="92" t="e">
        <f>S50+S59+S60</f>
        <v>#VALUE!</v>
      </c>
      <c r="T66" s="117"/>
      <c r="U66" s="87"/>
      <c r="V66" s="87"/>
      <c r="W66" s="87"/>
      <c r="X66" s="87"/>
      <c r="Y66" s="87"/>
      <c r="Z66" s="117"/>
      <c r="AA66" s="117"/>
      <c r="AB66" s="117"/>
      <c r="AD66" s="117"/>
      <c r="AO66" s="117"/>
    </row>
    <row r="67" spans="1:41" ht="15" customHeight="1" x14ac:dyDescent="0.3">
      <c r="A67" s="293" t="str">
        <f>IF(G67=$R$130,"&gt;","")</f>
        <v>&gt;</v>
      </c>
      <c r="B67" s="89"/>
      <c r="C67" s="105"/>
      <c r="D67" s="106"/>
      <c r="E67" s="106"/>
      <c r="F67" s="107" t="s">
        <v>752</v>
      </c>
      <c r="G67" s="225" t="s">
        <v>699</v>
      </c>
      <c r="I67" s="117"/>
      <c r="J67" s="117"/>
      <c r="K67" s="117"/>
      <c r="L67" s="117"/>
      <c r="M67" s="117"/>
      <c r="N67" s="117"/>
      <c r="O67" s="87"/>
      <c r="P67" s="87"/>
      <c r="Q67" s="117"/>
      <c r="R67" s="117"/>
      <c r="S67" s="117"/>
      <c r="T67" s="117"/>
      <c r="U67" s="87"/>
      <c r="V67" s="87"/>
      <c r="W67" s="87"/>
      <c r="X67" s="87"/>
      <c r="Y67" s="87"/>
      <c r="Z67" s="117"/>
      <c r="AA67" s="117"/>
      <c r="AB67" s="117"/>
      <c r="AD67" s="117"/>
      <c r="AO67" s="117"/>
    </row>
    <row r="68" spans="1:41" ht="12" customHeight="1" x14ac:dyDescent="0.3">
      <c r="A68" s="87"/>
      <c r="B68" s="87"/>
      <c r="C68" s="114"/>
      <c r="D68" s="87"/>
      <c r="E68" s="87"/>
      <c r="F68" s="87"/>
      <c r="G68" s="88"/>
      <c r="I68" s="117"/>
      <c r="J68" s="117"/>
      <c r="K68" s="117"/>
      <c r="L68" s="117"/>
      <c r="M68" s="117"/>
      <c r="N68" s="117"/>
      <c r="O68" s="87"/>
      <c r="P68" s="87"/>
      <c r="Q68" s="117"/>
      <c r="R68" s="117"/>
      <c r="S68" s="117"/>
      <c r="T68" s="117"/>
      <c r="U68" s="87"/>
      <c r="V68" s="87"/>
      <c r="W68" s="87"/>
      <c r="X68" s="87"/>
      <c r="Y68" s="87"/>
      <c r="Z68" s="117"/>
      <c r="AA68" s="117"/>
      <c r="AB68" s="117"/>
      <c r="AD68" s="117"/>
      <c r="AO68" s="117"/>
    </row>
    <row r="69" spans="1:41" ht="25" customHeight="1" x14ac:dyDescent="0.3">
      <c r="A69" s="87"/>
      <c r="B69" s="87"/>
      <c r="C69" s="446" t="s">
        <v>754</v>
      </c>
      <c r="D69" s="444"/>
      <c r="E69" s="444" t="s">
        <v>755</v>
      </c>
      <c r="F69" s="444" t="s">
        <v>756</v>
      </c>
      <c r="G69" s="444" t="s">
        <v>757</v>
      </c>
      <c r="I69" s="117"/>
      <c r="J69" s="117"/>
      <c r="K69" s="117"/>
      <c r="L69" s="117"/>
      <c r="M69" s="117"/>
      <c r="N69" s="117"/>
      <c r="O69" s="87"/>
      <c r="P69" s="87"/>
      <c r="Q69" s="117"/>
      <c r="R69" s="117"/>
      <c r="S69" s="117"/>
      <c r="T69" s="117"/>
      <c r="U69" s="87"/>
      <c r="V69" s="87"/>
      <c r="W69" s="87"/>
      <c r="X69" s="87"/>
      <c r="Y69" s="87"/>
      <c r="Z69" s="117"/>
      <c r="AA69" s="117"/>
      <c r="AB69" s="117"/>
      <c r="AD69" s="117"/>
      <c r="AO69" s="117"/>
    </row>
    <row r="70" spans="1:41" ht="15" customHeight="1" x14ac:dyDescent="0.3">
      <c r="A70" s="87"/>
      <c r="B70" s="293" t="str">
        <f>IF(AND($G$67=$R$131,E70=""),"&gt;",IF(AND($G$67=$R$131,E70=$R$131,F70=""),"&gt;",""))</f>
        <v/>
      </c>
      <c r="C70" s="96" t="str">
        <f>B45</f>
        <v>Wash hand basin taps</v>
      </c>
      <c r="D70" s="134"/>
      <c r="E70" s="218" t="s">
        <v>753</v>
      </c>
      <c r="F70" s="226">
        <v>1</v>
      </c>
      <c r="G70" s="94">
        <f>IF(ISERROR(IF(OR(E70=$R$132,E70=""),0,G45*F70)),R138,IF(OR(E70=$R$132,E70=""),0,G45*F70))</f>
        <v>0</v>
      </c>
      <c r="I70" s="117"/>
      <c r="J70" s="117"/>
      <c r="K70" s="117"/>
      <c r="L70" s="117"/>
      <c r="M70" s="117"/>
      <c r="N70" s="117"/>
      <c r="O70" s="117"/>
      <c r="P70" s="117"/>
      <c r="Q70" s="117"/>
      <c r="R70" s="117"/>
      <c r="S70" s="117"/>
      <c r="T70" s="117"/>
      <c r="U70" s="117"/>
      <c r="V70" s="117"/>
      <c r="W70" s="117"/>
      <c r="X70" s="117"/>
      <c r="Y70" s="117"/>
      <c r="Z70" s="117"/>
      <c r="AA70" s="117"/>
      <c r="AB70" s="117"/>
      <c r="AD70" s="117"/>
      <c r="AO70" s="117"/>
    </row>
    <row r="71" spans="1:41" ht="15" customHeight="1" x14ac:dyDescent="0.3">
      <c r="A71" s="87"/>
      <c r="B71" s="293" t="str">
        <f>IF(AND($G$67=$R$131,E71=""),"&gt;",IF(AND($G$67=$R$131,E71=$R$131,F71=""),"&gt;",""))</f>
        <v/>
      </c>
      <c r="C71" s="96" t="s">
        <v>537</v>
      </c>
      <c r="D71" s="134"/>
      <c r="E71" s="218" t="s">
        <v>753</v>
      </c>
      <c r="F71" s="226"/>
      <c r="G71" s="94">
        <f>IF(ISERROR(IF(OR(E71=$R$132,E71=""),0,(SUM(G46:G47)*F71))),R138,IF(OR(E71=$R$132,E71=""),0,(SUM(G46:G47)*F71)))</f>
        <v>0</v>
      </c>
      <c r="I71" s="117"/>
      <c r="J71" s="117"/>
      <c r="K71" s="117"/>
      <c r="L71" s="117"/>
      <c r="M71" s="117"/>
      <c r="N71" s="117"/>
      <c r="O71" s="117"/>
      <c r="P71" s="117"/>
      <c r="Q71" s="117"/>
      <c r="R71" s="117"/>
      <c r="S71" s="117"/>
      <c r="T71" s="117"/>
      <c r="U71" s="117"/>
      <c r="V71" s="117"/>
      <c r="W71" s="117"/>
      <c r="X71" s="117"/>
      <c r="Y71" s="117"/>
      <c r="Z71" s="117"/>
      <c r="AA71" s="117"/>
      <c r="AB71" s="117"/>
      <c r="AC71" s="122"/>
      <c r="AD71" s="117"/>
      <c r="AO71" s="117"/>
    </row>
    <row r="72" spans="1:41" ht="15" customHeight="1" x14ac:dyDescent="0.3">
      <c r="A72" s="87"/>
      <c r="B72" s="293" t="str">
        <f>IF($F$22=$R$132,"",IF(AND($G$67=$R$131,E72=""),"&gt;",IF(AND($G$67=$R$131,E72=$R$131,F72=""),"&gt;","")))</f>
        <v/>
      </c>
      <c r="C72" s="96" t="str">
        <f>B52</f>
        <v>Kitchen taps - kitchenette</v>
      </c>
      <c r="D72" s="134"/>
      <c r="E72" s="224" t="s">
        <v>753</v>
      </c>
      <c r="F72" s="226"/>
      <c r="G72" s="94">
        <f>IF(ISERROR(IF(OR(E72=$R$132,E72=""),0,G52*F72)),R138,IF(OR(E72=$R$132,E72=""),0,G52*F72))</f>
        <v>0</v>
      </c>
      <c r="I72" s="117"/>
      <c r="J72" s="117"/>
      <c r="K72" s="117"/>
      <c r="L72" s="117"/>
      <c r="M72" s="117"/>
      <c r="N72" s="117"/>
      <c r="O72" s="117"/>
      <c r="P72" s="117"/>
      <c r="Q72" s="117"/>
      <c r="R72" s="117"/>
      <c r="S72" s="117"/>
      <c r="T72" s="117"/>
      <c r="U72" s="117"/>
      <c r="V72" s="117"/>
      <c r="W72" s="117"/>
      <c r="X72" s="117"/>
      <c r="Y72" s="117"/>
      <c r="Z72" s="117"/>
      <c r="AA72" s="117"/>
      <c r="AB72" s="117"/>
      <c r="AC72" s="122"/>
      <c r="AD72" s="117"/>
      <c r="AO72" s="117"/>
    </row>
    <row r="73" spans="1:41" ht="15" customHeight="1" x14ac:dyDescent="0.3">
      <c r="A73" s="87"/>
      <c r="B73" s="293" t="str">
        <f>IF($F$22=$R$132,"",IF(AND($G$67=$R$131,E73=""),"&gt;",IF(AND($G$67=$R$131,E73=$R$131,F73=""),"&gt;","")))</f>
        <v/>
      </c>
      <c r="C73" s="96" t="s">
        <v>758</v>
      </c>
      <c r="D73" s="134"/>
      <c r="E73" s="224" t="s">
        <v>753</v>
      </c>
      <c r="F73" s="226"/>
      <c r="G73" s="94">
        <f>IF(ISERROR(IF(OR(E73=$R$132,E73=""),0,F73*G53)),R138,IF(OR(E73=$R$132,E73=""),0,F73*G53))</f>
        <v>0</v>
      </c>
      <c r="I73" s="117"/>
      <c r="J73" s="117"/>
      <c r="K73" s="117"/>
      <c r="L73" s="117"/>
      <c r="M73" s="117"/>
      <c r="N73" s="117"/>
      <c r="O73" s="117"/>
      <c r="P73" s="117"/>
      <c r="Q73" s="117"/>
      <c r="R73" s="117"/>
      <c r="S73" s="117"/>
      <c r="T73" s="117"/>
      <c r="U73" s="117"/>
      <c r="V73" s="117"/>
      <c r="W73" s="117"/>
      <c r="X73" s="117"/>
      <c r="Y73" s="117"/>
      <c r="Z73" s="117"/>
      <c r="AA73" s="117"/>
      <c r="AB73" s="117"/>
      <c r="AC73" s="122"/>
      <c r="AD73" s="117"/>
      <c r="AO73" s="117"/>
    </row>
    <row r="74" spans="1:41" ht="15" customHeight="1" x14ac:dyDescent="0.3">
      <c r="A74" s="87"/>
      <c r="B74" s="293" t="str">
        <f>IF($F$23=$R$132,"",IF(AND($G$67=$R$131,E74=""),"&gt;",IF(AND($G$67=$R$131,E74=$R$131,F74=""),"&gt;","")))</f>
        <v/>
      </c>
      <c r="C74" s="96" t="str">
        <f>B55</f>
        <v>Kitchen taps - pre-rinse nozzle</v>
      </c>
      <c r="D74" s="134"/>
      <c r="E74" s="224" t="s">
        <v>753</v>
      </c>
      <c r="F74" s="227"/>
      <c r="G74" s="94">
        <f>IF(ISERROR(IF(OR(E74=$R$132,E74=""),0,G55*F74)),R138,IF(OR(E74=$R$132,E74=""),0,G55*F74))</f>
        <v>0</v>
      </c>
      <c r="I74" s="117"/>
      <c r="J74" s="117"/>
      <c r="K74" s="117"/>
      <c r="L74" s="117"/>
      <c r="M74" s="117"/>
      <c r="N74" s="117"/>
      <c r="O74" s="117"/>
      <c r="P74" s="117"/>
      <c r="Q74" s="117"/>
      <c r="R74" s="117"/>
      <c r="S74" s="117"/>
      <c r="T74" s="117"/>
      <c r="U74" s="117"/>
      <c r="V74" s="117"/>
      <c r="W74" s="117"/>
      <c r="X74" s="117"/>
      <c r="Y74" s="117"/>
      <c r="Z74" s="117"/>
      <c r="AA74" s="117"/>
      <c r="AB74" s="117"/>
      <c r="AC74" s="122"/>
      <c r="AD74" s="117"/>
      <c r="AO74" s="117"/>
    </row>
    <row r="75" spans="1:41" ht="15" customHeight="1" x14ac:dyDescent="0.3">
      <c r="A75" s="87"/>
      <c r="B75" s="293" t="str">
        <f>IF($F$23=$R$132,"",IF(AND($G$67=$R$131,E75=""),"&gt;",IF(AND($G$67=$R$131,E75=$R$131,F75=""),"&gt;","")))</f>
        <v/>
      </c>
      <c r="C75" s="96" t="s">
        <v>759</v>
      </c>
      <c r="D75" s="134"/>
      <c r="E75" s="224" t="s">
        <v>753</v>
      </c>
      <c r="F75" s="227"/>
      <c r="G75" s="94">
        <f>IF(ISERROR(IF(OR(E75=$R$132,E75=""),0,F75*G56)),R138,(IF(OR(E75=$R$132,E75=""),0,F75*G56)))</f>
        <v>0</v>
      </c>
      <c r="I75" s="117"/>
      <c r="J75" s="117"/>
      <c r="K75" s="117"/>
      <c r="L75" s="117"/>
      <c r="M75" s="117"/>
      <c r="N75" s="117"/>
      <c r="O75" s="117"/>
      <c r="P75" s="117"/>
      <c r="Q75" s="117"/>
      <c r="R75" s="117"/>
      <c r="S75" s="117"/>
      <c r="T75" s="117"/>
      <c r="U75" s="117"/>
      <c r="V75" s="117"/>
      <c r="W75" s="117"/>
      <c r="X75" s="117"/>
      <c r="Y75" s="117"/>
      <c r="Z75" s="117"/>
      <c r="AA75" s="117"/>
      <c r="AB75" s="117"/>
      <c r="AC75" s="122"/>
      <c r="AD75" s="117"/>
      <c r="AO75" s="117"/>
    </row>
    <row r="76" spans="1:41" ht="15" hidden="1" customHeight="1" x14ac:dyDescent="0.3">
      <c r="A76" s="87"/>
      <c r="B76" s="244" t="s">
        <v>736</v>
      </c>
      <c r="C76" s="236" t="s">
        <v>760</v>
      </c>
      <c r="D76" s="237"/>
      <c r="E76" s="241"/>
      <c r="F76" s="242"/>
      <c r="G76" s="238" t="e">
        <f>IF(OR(E76=R132,E76="",E48="N/A",E49="N/A"),0,(SUM(G48:G49)*F76))</f>
        <v>#N/A</v>
      </c>
      <c r="H76" s="419" t="s">
        <v>736</v>
      </c>
      <c r="I76" s="253"/>
      <c r="J76" s="117"/>
      <c r="K76" s="117"/>
      <c r="L76" s="117"/>
      <c r="M76" s="117"/>
      <c r="N76" s="117"/>
      <c r="O76" s="117"/>
      <c r="P76" s="117"/>
      <c r="Q76" s="117"/>
      <c r="R76" s="117"/>
      <c r="S76" s="117"/>
      <c r="T76" s="117"/>
      <c r="U76" s="117"/>
      <c r="V76" s="117"/>
      <c r="W76" s="117"/>
      <c r="X76" s="117"/>
      <c r="Y76" s="117"/>
      <c r="Z76" s="117"/>
      <c r="AA76" s="117"/>
      <c r="AB76" s="117"/>
      <c r="AC76" s="122"/>
      <c r="AD76" s="117"/>
      <c r="AO76" s="117"/>
    </row>
    <row r="77" spans="1:41" ht="15" hidden="1" customHeight="1" x14ac:dyDescent="0.3">
      <c r="A77" s="87"/>
      <c r="B77" s="244" t="s">
        <v>736</v>
      </c>
      <c r="C77" s="239" t="str">
        <f>B58</f>
        <v>Washing machine</v>
      </c>
      <c r="D77" s="240"/>
      <c r="E77" s="217"/>
      <c r="F77" s="243"/>
      <c r="G77" s="94">
        <f>IF(OR(E77=R133,E77=""),0,F77*G58)</f>
        <v>0</v>
      </c>
      <c r="H77" s="419" t="s">
        <v>736</v>
      </c>
      <c r="I77" s="253"/>
      <c r="J77" s="117"/>
      <c r="K77" s="117"/>
      <c r="L77" s="117"/>
      <c r="M77" s="117"/>
      <c r="N77" s="117"/>
      <c r="O77" s="117"/>
      <c r="P77" s="117"/>
      <c r="Q77" s="117"/>
      <c r="R77" s="117"/>
      <c r="S77" s="117"/>
      <c r="T77" s="117"/>
      <c r="U77" s="117"/>
      <c r="V77" s="117"/>
      <c r="W77" s="117"/>
      <c r="X77" s="117"/>
      <c r="Y77" s="117"/>
      <c r="Z77" s="117"/>
      <c r="AA77" s="117"/>
      <c r="AB77" s="117"/>
      <c r="AC77" s="122"/>
      <c r="AD77" s="117"/>
      <c r="AO77" s="117"/>
    </row>
    <row r="78" spans="1:41" ht="25" customHeight="1" x14ac:dyDescent="0.3">
      <c r="A78" s="87"/>
      <c r="B78" s="87"/>
      <c r="C78" s="444" t="s">
        <v>761</v>
      </c>
      <c r="D78" s="444" t="s">
        <v>762</v>
      </c>
      <c r="E78" s="444" t="s">
        <v>763</v>
      </c>
      <c r="F78" s="444" t="s">
        <v>764</v>
      </c>
      <c r="G78" s="444" t="s">
        <v>757</v>
      </c>
      <c r="H78" s="560" t="str">
        <f>IF(G67=R131,O152,"")</f>
        <v/>
      </c>
      <c r="I78" s="544"/>
      <c r="J78" s="544"/>
      <c r="K78" s="544"/>
      <c r="L78" s="544"/>
      <c r="M78" s="544"/>
      <c r="N78" s="420"/>
      <c r="O78" s="117"/>
      <c r="P78" s="117"/>
      <c r="Q78" s="117"/>
      <c r="R78" s="117"/>
      <c r="S78" s="117"/>
      <c r="T78" s="117"/>
      <c r="U78" s="117"/>
      <c r="V78" s="117"/>
      <c r="W78" s="117"/>
      <c r="X78" s="117"/>
      <c r="Y78" s="117"/>
      <c r="Z78" s="117"/>
      <c r="AA78" s="117"/>
      <c r="AB78" s="117"/>
      <c r="AC78" s="133"/>
      <c r="AD78" s="117"/>
      <c r="AO78" s="117"/>
    </row>
    <row r="79" spans="1:41" ht="15" customHeight="1" x14ac:dyDescent="0.3">
      <c r="A79" s="87"/>
      <c r="B79" s="87"/>
      <c r="C79" s="103" t="s">
        <v>765</v>
      </c>
      <c r="D79" s="218">
        <v>500</v>
      </c>
      <c r="E79" s="218">
        <v>1</v>
      </c>
      <c r="F79" s="94">
        <f>IF(D79="","",D79/E79)</f>
        <v>500</v>
      </c>
      <c r="G79" s="94" t="e">
        <f>IF(D79="",0,F79/O140)</f>
        <v>#DIV/0!</v>
      </c>
      <c r="H79" s="560"/>
      <c r="I79" s="544"/>
      <c r="J79" s="544"/>
      <c r="K79" s="544"/>
      <c r="L79" s="544"/>
      <c r="M79" s="544"/>
      <c r="N79" s="420"/>
      <c r="O79" s="117"/>
      <c r="P79" s="117"/>
      <c r="Q79" s="117"/>
      <c r="R79" s="117"/>
      <c r="S79" s="117"/>
      <c r="T79" s="117"/>
      <c r="U79" s="117"/>
      <c r="V79" s="117"/>
      <c r="W79" s="117"/>
      <c r="X79" s="117"/>
      <c r="Y79" s="117"/>
      <c r="Z79" s="117"/>
      <c r="AA79" s="117"/>
      <c r="AB79" s="117"/>
      <c r="AC79" s="122"/>
      <c r="AD79" s="117"/>
      <c r="AO79" s="117"/>
    </row>
    <row r="80" spans="1:41" ht="15" customHeight="1" x14ac:dyDescent="0.3">
      <c r="A80" s="87"/>
      <c r="B80" s="87"/>
      <c r="C80" s="87"/>
      <c r="D80" s="87"/>
      <c r="E80" s="87"/>
      <c r="F80" s="87"/>
      <c r="G80" s="87"/>
      <c r="I80" s="117"/>
      <c r="J80" s="117"/>
      <c r="K80" s="117"/>
      <c r="L80" s="117"/>
      <c r="M80" s="117"/>
      <c r="N80" s="117"/>
      <c r="O80" s="117"/>
      <c r="P80" s="117"/>
      <c r="Q80" s="117"/>
      <c r="R80" s="117"/>
      <c r="S80" s="117"/>
      <c r="T80" s="117"/>
      <c r="U80" s="117"/>
      <c r="V80" s="117"/>
      <c r="W80" s="117"/>
      <c r="X80" s="117"/>
      <c r="Y80" s="117"/>
      <c r="Z80" s="117"/>
      <c r="AA80" s="117"/>
      <c r="AB80" s="117"/>
      <c r="AC80" s="122"/>
      <c r="AD80" s="117"/>
      <c r="AO80" s="117"/>
    </row>
    <row r="81" spans="1:41" ht="25" customHeight="1" x14ac:dyDescent="0.3">
      <c r="A81" s="87"/>
      <c r="B81" s="87"/>
      <c r="C81" s="87"/>
      <c r="D81" s="87"/>
      <c r="E81" s="87"/>
      <c r="F81" s="87"/>
      <c r="G81" s="444" t="s">
        <v>766</v>
      </c>
      <c r="I81" s="117"/>
      <c r="J81" s="117"/>
      <c r="K81" s="117"/>
      <c r="L81" s="117"/>
      <c r="M81" s="117"/>
      <c r="N81" s="117"/>
      <c r="O81" s="117"/>
      <c r="P81" s="117"/>
      <c r="Q81" s="117"/>
      <c r="R81" s="117"/>
      <c r="S81" s="117"/>
      <c r="T81" s="117"/>
      <c r="U81" s="117"/>
      <c r="V81" s="117"/>
      <c r="W81" s="117"/>
      <c r="X81" s="117"/>
      <c r="Y81" s="117"/>
      <c r="Z81" s="117"/>
      <c r="AA81" s="117"/>
      <c r="AB81" s="117"/>
      <c r="AC81" s="122"/>
      <c r="AD81" s="117"/>
      <c r="AO81" s="117"/>
    </row>
    <row r="82" spans="1:41" ht="15" customHeight="1" x14ac:dyDescent="0.3">
      <c r="A82" s="87"/>
      <c r="B82" s="87"/>
      <c r="C82" s="87"/>
      <c r="D82" s="87"/>
      <c r="E82" s="87"/>
      <c r="F82" s="113" t="s">
        <v>748</v>
      </c>
      <c r="G82" s="94" t="str">
        <f>IF(B13=R130,R138,IF(OR(G67=R133,G67=R132),0,SUM(G70:G77)+G79))</f>
        <v>Requires building information</v>
      </c>
      <c r="I82" s="117"/>
      <c r="J82" s="117"/>
      <c r="K82" s="117"/>
      <c r="L82" s="117"/>
      <c r="M82" s="117"/>
      <c r="N82" s="117"/>
      <c r="O82" s="117"/>
      <c r="P82" s="117"/>
      <c r="Q82" s="117"/>
      <c r="R82" s="117"/>
      <c r="S82" s="117"/>
      <c r="T82" s="117"/>
      <c r="U82" s="117"/>
      <c r="V82" s="117"/>
      <c r="W82" s="117"/>
      <c r="X82" s="117"/>
      <c r="Y82" s="117"/>
      <c r="Z82" s="117"/>
      <c r="AA82" s="117"/>
      <c r="AB82" s="117"/>
      <c r="AD82" s="117"/>
      <c r="AO82" s="117"/>
    </row>
    <row r="83" spans="1:41" ht="25" customHeight="1" x14ac:dyDescent="0.3">
      <c r="A83" s="87"/>
      <c r="B83" s="87"/>
      <c r="C83" s="87"/>
      <c r="D83" s="87"/>
      <c r="E83" s="87"/>
      <c r="F83" s="87"/>
      <c r="G83" s="88"/>
      <c r="I83" s="117"/>
      <c r="J83" s="117"/>
      <c r="K83" s="117"/>
      <c r="L83" s="117"/>
      <c r="M83" s="117"/>
      <c r="N83" s="117"/>
      <c r="O83" s="117"/>
      <c r="P83" s="117"/>
      <c r="Q83" s="117"/>
      <c r="R83" s="117"/>
      <c r="S83" s="117"/>
      <c r="T83" s="117"/>
      <c r="U83" s="117"/>
      <c r="V83" s="117"/>
      <c r="W83" s="117"/>
      <c r="X83" s="117"/>
      <c r="Y83" s="117"/>
      <c r="Z83" s="117"/>
      <c r="AA83" s="117"/>
      <c r="AB83" s="117"/>
      <c r="AD83" s="117"/>
      <c r="AO83" s="117"/>
    </row>
    <row r="84" spans="1:41" ht="32.15" customHeight="1" x14ac:dyDescent="0.3">
      <c r="A84" s="87"/>
      <c r="B84" s="422" t="s">
        <v>767</v>
      </c>
      <c r="C84" s="422"/>
      <c r="D84" s="422"/>
      <c r="E84" s="422"/>
      <c r="F84" s="422"/>
      <c r="G84" s="422"/>
      <c r="I84" s="117"/>
      <c r="J84" s="117"/>
      <c r="K84" s="117"/>
      <c r="L84" s="117"/>
      <c r="M84" s="117"/>
      <c r="N84" s="117"/>
      <c r="O84" s="117"/>
      <c r="P84" s="117"/>
      <c r="Q84" s="117"/>
      <c r="R84" s="117"/>
      <c r="S84" s="117"/>
      <c r="T84" s="117"/>
      <c r="U84" s="117"/>
      <c r="V84" s="117"/>
      <c r="W84" s="117"/>
      <c r="X84" s="117"/>
      <c r="Y84" s="117"/>
      <c r="Z84" s="117"/>
      <c r="AA84" s="117"/>
      <c r="AB84" s="117"/>
      <c r="AD84" s="117"/>
      <c r="AO84" s="117"/>
    </row>
    <row r="85" spans="1:41" ht="25" customHeight="1" x14ac:dyDescent="0.3">
      <c r="A85" s="87"/>
      <c r="B85" s="109"/>
      <c r="C85" s="109"/>
      <c r="D85" s="87"/>
      <c r="E85" s="87"/>
      <c r="F85" s="87"/>
      <c r="G85" s="88"/>
      <c r="I85" s="117"/>
      <c r="J85" s="117"/>
      <c r="K85" s="117"/>
      <c r="L85" s="117"/>
      <c r="M85" s="117"/>
      <c r="N85" s="117"/>
      <c r="O85" s="117"/>
      <c r="P85" s="117"/>
      <c r="Q85" s="117"/>
      <c r="R85" s="117"/>
      <c r="S85" s="117"/>
      <c r="T85" s="117"/>
      <c r="U85" s="117"/>
      <c r="V85" s="117"/>
      <c r="W85" s="117"/>
      <c r="X85" s="117"/>
      <c r="Y85" s="117"/>
      <c r="Z85" s="117"/>
      <c r="AA85" s="117"/>
      <c r="AB85" s="117"/>
      <c r="AD85" s="117"/>
      <c r="AO85" s="117"/>
    </row>
    <row r="86" spans="1:41" ht="15" customHeight="1" x14ac:dyDescent="0.3">
      <c r="A86" s="293" t="str">
        <f>IF(G86=$R$130,"&gt;","")</f>
        <v>&gt;</v>
      </c>
      <c r="B86" s="89"/>
      <c r="C86" s="105"/>
      <c r="D86" s="106"/>
      <c r="E86" s="106"/>
      <c r="F86" s="107" t="s">
        <v>768</v>
      </c>
      <c r="G86" s="229" t="s">
        <v>699</v>
      </c>
      <c r="I86" s="117"/>
      <c r="J86" s="117"/>
      <c r="K86" s="117"/>
      <c r="L86" s="117"/>
      <c r="M86" s="117"/>
      <c r="N86" s="117"/>
      <c r="O86" s="117"/>
      <c r="P86" s="117"/>
      <c r="Q86" s="117"/>
      <c r="R86" s="117"/>
      <c r="S86" s="117"/>
      <c r="T86" s="117"/>
      <c r="U86" s="117"/>
      <c r="V86" s="117"/>
      <c r="W86" s="117"/>
      <c r="X86" s="117"/>
      <c r="Y86" s="117"/>
      <c r="Z86" s="117"/>
      <c r="AA86" s="117"/>
      <c r="AB86" s="117"/>
      <c r="AD86" s="117"/>
      <c r="AO86" s="117"/>
    </row>
    <row r="87" spans="1:41" x14ac:dyDescent="0.3">
      <c r="A87" s="87"/>
      <c r="B87" s="87"/>
      <c r="C87" s="87"/>
      <c r="D87" s="87"/>
      <c r="E87" s="87"/>
      <c r="F87" s="136"/>
      <c r="G87" s="88"/>
      <c r="I87" s="117"/>
      <c r="J87" s="117"/>
      <c r="K87" s="117"/>
      <c r="L87" s="117"/>
      <c r="M87" s="117"/>
      <c r="N87" s="117"/>
      <c r="O87" s="117"/>
      <c r="P87" s="117"/>
      <c r="Q87" s="117"/>
      <c r="R87" s="117"/>
      <c r="S87" s="117"/>
      <c r="T87" s="117"/>
      <c r="U87" s="117"/>
      <c r="V87" s="117"/>
      <c r="W87" s="117"/>
      <c r="X87" s="117"/>
      <c r="Y87" s="117"/>
      <c r="Z87" s="117"/>
      <c r="AA87" s="117"/>
      <c r="AB87" s="117"/>
      <c r="AD87" s="117"/>
      <c r="AO87" s="117"/>
    </row>
    <row r="88" spans="1:41" ht="15" customHeight="1" x14ac:dyDescent="0.3">
      <c r="A88" s="293" t="str">
        <f>IF(AND($G$86=$R$131,G88=$R$130),"&gt;","")</f>
        <v/>
      </c>
      <c r="B88" s="89"/>
      <c r="C88" s="105"/>
      <c r="D88" s="106"/>
      <c r="E88" s="106"/>
      <c r="F88" s="107" t="s">
        <v>769</v>
      </c>
      <c r="G88" s="229" t="s">
        <v>815</v>
      </c>
      <c r="I88" s="117"/>
      <c r="J88" s="117"/>
      <c r="K88" s="117"/>
      <c r="L88" s="117"/>
      <c r="M88" s="117"/>
      <c r="N88" s="117"/>
      <c r="O88" s="117"/>
      <c r="P88" s="117"/>
      <c r="Q88" s="117"/>
      <c r="R88" s="117"/>
      <c r="S88" s="117"/>
      <c r="T88" s="117"/>
      <c r="U88" s="117"/>
      <c r="V88" s="117"/>
      <c r="W88" s="117"/>
      <c r="X88" s="117"/>
      <c r="Y88" s="117"/>
      <c r="Z88" s="117"/>
      <c r="AA88" s="117"/>
      <c r="AB88" s="117"/>
      <c r="AD88" s="117"/>
      <c r="AO88" s="117"/>
    </row>
    <row r="89" spans="1:41" ht="25" customHeight="1" x14ac:dyDescent="0.3">
      <c r="A89" s="87"/>
      <c r="B89" s="115" t="s">
        <v>770</v>
      </c>
      <c r="C89" s="87"/>
      <c r="D89" s="87"/>
      <c r="E89" s="87"/>
      <c r="F89" s="87"/>
      <c r="G89" s="137"/>
      <c r="I89" s="117"/>
      <c r="J89" s="117"/>
      <c r="K89" s="117"/>
      <c r="L89" s="117"/>
      <c r="M89" s="117"/>
      <c r="N89" s="117"/>
      <c r="O89" s="117"/>
      <c r="P89" s="117"/>
      <c r="Q89" s="117"/>
      <c r="R89" s="117"/>
      <c r="S89" s="117"/>
      <c r="T89" s="117"/>
      <c r="U89" s="117"/>
      <c r="V89" s="117"/>
      <c r="W89" s="117"/>
      <c r="X89" s="117"/>
      <c r="Y89" s="117"/>
      <c r="Z89" s="117"/>
      <c r="AA89" s="117"/>
      <c r="AB89" s="117"/>
      <c r="AD89" s="117"/>
      <c r="AO89" s="117"/>
    </row>
    <row r="90" spans="1:41" ht="26" x14ac:dyDescent="0.3">
      <c r="A90" s="87"/>
      <c r="B90" s="444" t="s">
        <v>771</v>
      </c>
      <c r="C90" s="444" t="s">
        <v>772</v>
      </c>
      <c r="D90" s="444" t="s">
        <v>773</v>
      </c>
      <c r="E90" s="444" t="s">
        <v>774</v>
      </c>
      <c r="F90" s="444" t="s">
        <v>775</v>
      </c>
      <c r="G90" s="444" t="s">
        <v>776</v>
      </c>
      <c r="I90" s="133"/>
      <c r="J90" s="133"/>
      <c r="K90" s="133"/>
      <c r="L90" s="133"/>
      <c r="M90" s="133"/>
      <c r="N90" s="133"/>
      <c r="O90" s="133"/>
      <c r="P90" s="133"/>
      <c r="Q90" s="133"/>
      <c r="R90" s="133"/>
      <c r="S90" s="133"/>
      <c r="T90" s="133"/>
      <c r="U90" s="133"/>
      <c r="V90" s="133"/>
      <c r="W90" s="133"/>
      <c r="X90" s="133"/>
      <c r="Y90" s="133"/>
      <c r="Z90" s="133"/>
      <c r="AA90" s="133"/>
      <c r="AB90" s="133"/>
      <c r="AC90" s="133"/>
      <c r="AD90" s="117"/>
      <c r="AO90" s="117"/>
    </row>
    <row r="91" spans="1:41" ht="15" customHeight="1" x14ac:dyDescent="0.3">
      <c r="A91" s="293" t="str">
        <f>IF(AND($G$86=$R$131,$G$88=$T$131,OR(B91="",C91="",D91="",E91="")),"&gt;","")</f>
        <v/>
      </c>
      <c r="B91" s="218">
        <v>2000</v>
      </c>
      <c r="C91" s="218">
        <v>786</v>
      </c>
      <c r="D91" s="234">
        <v>0.9</v>
      </c>
      <c r="E91" s="234">
        <v>0.9</v>
      </c>
      <c r="F91" s="108">
        <f>B91*E91*D91*C91</f>
        <v>1273320</v>
      </c>
      <c r="G91" s="92">
        <f>IF(ISERROR(IF(OR(G86=R133,G86=R132,G88=T132),0,(F91/365)/O140)),R138,IF(OR(G86=R133,G86=R132,G88=T132),0,(F91/365)/O140))</f>
        <v>0</v>
      </c>
      <c r="I91" s="122"/>
      <c r="J91" s="122"/>
      <c r="K91" s="122"/>
      <c r="L91" s="122"/>
      <c r="M91" s="122"/>
      <c r="N91" s="122"/>
      <c r="O91" s="122"/>
      <c r="P91" s="122"/>
      <c r="Q91" s="122"/>
      <c r="R91" s="122"/>
      <c r="S91" s="122"/>
      <c r="T91" s="122"/>
      <c r="U91" s="122"/>
      <c r="V91" s="122"/>
      <c r="W91" s="122"/>
      <c r="X91" s="122"/>
      <c r="Y91" s="122"/>
      <c r="Z91" s="122"/>
      <c r="AA91" s="122"/>
      <c r="AB91" s="122"/>
      <c r="AC91" s="122"/>
      <c r="AD91" s="117"/>
      <c r="AO91" s="117"/>
    </row>
    <row r="92" spans="1:41" ht="25" customHeight="1" x14ac:dyDescent="0.3">
      <c r="A92" s="87"/>
      <c r="B92" s="87"/>
      <c r="C92" s="87"/>
      <c r="D92" s="87"/>
      <c r="E92" s="87"/>
      <c r="F92" s="115" t="s">
        <v>777</v>
      </c>
      <c r="G92" s="88"/>
      <c r="I92" s="133"/>
      <c r="J92" s="133"/>
      <c r="K92" s="133"/>
      <c r="L92" s="133"/>
      <c r="M92" s="133"/>
      <c r="N92" s="133"/>
      <c r="O92" s="133"/>
      <c r="P92" s="133"/>
      <c r="Q92" s="133"/>
      <c r="R92" s="133"/>
      <c r="S92" s="133"/>
      <c r="T92" s="133"/>
      <c r="U92" s="133"/>
      <c r="V92" s="133"/>
      <c r="W92" s="133"/>
      <c r="X92" s="133"/>
      <c r="Y92" s="133"/>
      <c r="Z92" s="133"/>
      <c r="AA92" s="133"/>
      <c r="AB92" s="133"/>
      <c r="AC92" s="133"/>
      <c r="AD92" s="117"/>
      <c r="AO92" s="117"/>
    </row>
    <row r="93" spans="1:41" ht="26" x14ac:dyDescent="0.3">
      <c r="A93" s="87"/>
      <c r="B93" s="87"/>
      <c r="C93" s="87"/>
      <c r="D93" s="87"/>
      <c r="E93" s="87"/>
      <c r="F93" s="444" t="s">
        <v>778</v>
      </c>
      <c r="G93" s="444" t="s">
        <v>779</v>
      </c>
      <c r="I93" s="122"/>
      <c r="J93" s="122"/>
      <c r="K93" s="122"/>
      <c r="L93" s="122"/>
      <c r="M93" s="122"/>
      <c r="N93" s="122"/>
      <c r="O93" s="122"/>
      <c r="P93" s="122"/>
      <c r="Q93" s="122"/>
      <c r="R93" s="122"/>
      <c r="S93" s="122"/>
      <c r="T93" s="122"/>
      <c r="U93" s="122"/>
      <c r="V93" s="122"/>
      <c r="W93" s="122"/>
      <c r="X93" s="122"/>
      <c r="Y93" s="122"/>
      <c r="Z93" s="122"/>
      <c r="AA93" s="122"/>
      <c r="AB93" s="122"/>
      <c r="AC93" s="122"/>
      <c r="AD93" s="117"/>
      <c r="AO93" s="117"/>
    </row>
    <row r="94" spans="1:41" ht="15" customHeight="1" x14ac:dyDescent="0.3">
      <c r="A94" s="87"/>
      <c r="B94" s="87"/>
      <c r="C94" s="87"/>
      <c r="D94" s="87"/>
      <c r="E94" s="293" t="str">
        <f>IF(AND($G$86=$R$131,$G$88=$T$132,F94=""),"&gt;","")</f>
        <v/>
      </c>
      <c r="F94" s="218">
        <v>5000</v>
      </c>
      <c r="G94" s="92" t="str">
        <f>IF(ISERROR(IF(OR(G88=T131,G86=R133,G86=R132),0,(F94/O140))),R138,IF(OR(G88=T131,G86=R133,G86=R132),0,(F94/O140)))</f>
        <v>Requires building information</v>
      </c>
      <c r="H94" s="122"/>
      <c r="I94" s="122"/>
      <c r="J94" s="122"/>
      <c r="K94" s="122"/>
      <c r="L94" s="122"/>
      <c r="M94" s="122"/>
      <c r="N94" s="122"/>
      <c r="O94" s="122"/>
      <c r="P94" s="122"/>
      <c r="Q94" s="122"/>
      <c r="R94" s="122"/>
      <c r="S94" s="122"/>
      <c r="T94" s="122"/>
      <c r="U94" s="122"/>
      <c r="V94" s="122"/>
      <c r="W94" s="122"/>
      <c r="X94" s="122"/>
      <c r="Y94" s="122"/>
      <c r="Z94" s="122"/>
      <c r="AA94" s="122"/>
      <c r="AB94" s="122"/>
      <c r="AC94" s="122"/>
      <c r="AD94" s="117"/>
      <c r="AO94" s="117"/>
    </row>
    <row r="95" spans="1:41" ht="25" customHeight="1" x14ac:dyDescent="0.3">
      <c r="A95" s="87"/>
      <c r="B95" s="87"/>
      <c r="C95" s="87"/>
      <c r="D95" s="87"/>
      <c r="E95" s="87"/>
      <c r="F95" s="87"/>
      <c r="G95" s="88"/>
      <c r="I95" s="117"/>
      <c r="J95" s="117"/>
      <c r="K95" s="117"/>
      <c r="L95" s="117"/>
      <c r="M95" s="117"/>
      <c r="N95" s="117"/>
      <c r="O95" s="117"/>
      <c r="P95" s="117"/>
      <c r="Q95" s="117"/>
      <c r="R95" s="117"/>
      <c r="S95" s="117"/>
      <c r="T95" s="117"/>
      <c r="U95" s="117"/>
      <c r="V95" s="117"/>
      <c r="W95" s="117"/>
      <c r="X95" s="117"/>
      <c r="Y95" s="117"/>
      <c r="Z95" s="117"/>
      <c r="AA95" s="117"/>
      <c r="AB95" s="117"/>
      <c r="AD95" s="117"/>
      <c r="AO95" s="117"/>
    </row>
    <row r="96" spans="1:41" ht="32.15" customHeight="1" x14ac:dyDescent="0.3">
      <c r="A96" s="87"/>
      <c r="B96" s="422" t="s">
        <v>780</v>
      </c>
      <c r="C96" s="422"/>
      <c r="D96" s="422"/>
      <c r="E96" s="422"/>
      <c r="F96" s="422"/>
      <c r="G96" s="422"/>
      <c r="I96" s="117"/>
      <c r="J96" s="117"/>
      <c r="K96" s="117"/>
      <c r="L96" s="117"/>
      <c r="M96" s="117"/>
      <c r="N96" s="117"/>
      <c r="O96" s="117"/>
      <c r="P96" s="117"/>
      <c r="Q96" s="117"/>
      <c r="R96" s="117"/>
      <c r="S96" s="117"/>
      <c r="T96" s="117"/>
      <c r="U96" s="117"/>
      <c r="V96" s="117"/>
      <c r="W96" s="117"/>
      <c r="X96" s="117"/>
      <c r="Y96" s="117"/>
      <c r="Z96" s="117"/>
      <c r="AA96" s="117"/>
      <c r="AB96" s="117"/>
      <c r="AD96" s="117"/>
      <c r="AO96" s="117"/>
    </row>
    <row r="97" spans="1:41" ht="25" customHeight="1" x14ac:dyDescent="0.3">
      <c r="A97" s="87"/>
      <c r="B97" s="87"/>
      <c r="C97" s="87"/>
      <c r="D97" s="87"/>
      <c r="E97" s="87"/>
      <c r="F97" s="87"/>
      <c r="G97" s="88"/>
      <c r="I97" s="117"/>
      <c r="J97" s="117"/>
      <c r="K97" s="117"/>
      <c r="L97" s="117"/>
      <c r="M97" s="117"/>
      <c r="N97" s="117"/>
      <c r="O97" s="117"/>
      <c r="P97" s="117"/>
      <c r="Q97" s="117"/>
      <c r="R97" s="117"/>
      <c r="S97" s="117"/>
      <c r="T97" s="117"/>
      <c r="U97" s="117"/>
      <c r="V97" s="117"/>
      <c r="W97" s="117"/>
      <c r="X97" s="117"/>
      <c r="Y97" s="117"/>
      <c r="Z97" s="117"/>
      <c r="AA97" s="117"/>
      <c r="AB97" s="117"/>
      <c r="AD97" s="117"/>
      <c r="AO97" s="117"/>
    </row>
    <row r="98" spans="1:41" ht="25" customHeight="1" x14ac:dyDescent="0.3">
      <c r="A98" s="87"/>
      <c r="B98" s="87"/>
      <c r="C98" s="87"/>
      <c r="D98" s="87"/>
      <c r="E98" s="87"/>
      <c r="F98" s="87"/>
      <c r="G98" s="444" t="s">
        <v>781</v>
      </c>
      <c r="I98" s="117"/>
      <c r="J98" s="117"/>
      <c r="K98" s="117"/>
      <c r="L98" s="117"/>
      <c r="M98" s="117"/>
      <c r="N98" s="117"/>
      <c r="O98" s="117"/>
      <c r="P98" s="117"/>
      <c r="Q98" s="117"/>
      <c r="R98" s="117"/>
      <c r="S98" s="117"/>
      <c r="T98" s="117"/>
      <c r="U98" s="117"/>
      <c r="V98" s="117"/>
      <c r="W98" s="117"/>
      <c r="X98" s="117"/>
      <c r="Y98" s="117"/>
      <c r="Z98" s="117"/>
      <c r="AA98" s="117"/>
      <c r="AB98" s="117"/>
      <c r="AD98" s="117"/>
      <c r="AO98" s="117"/>
    </row>
    <row r="99" spans="1:41" ht="15" customHeight="1" x14ac:dyDescent="0.3">
      <c r="A99" s="87"/>
      <c r="B99" s="87"/>
      <c r="C99" s="87"/>
      <c r="D99" s="87"/>
      <c r="E99" s="87"/>
      <c r="F99" s="113" t="s">
        <v>748</v>
      </c>
      <c r="G99" s="92" t="str">
        <f>IF(ISERROR(G94+G91+G82),R138,G94+G91+G82)</f>
        <v>Requires building information</v>
      </c>
      <c r="I99" s="117"/>
      <c r="J99" s="117"/>
      <c r="K99" s="117"/>
      <c r="L99" s="117"/>
      <c r="M99" s="117"/>
      <c r="N99" s="117"/>
      <c r="O99" s="117"/>
      <c r="P99" s="117"/>
      <c r="Q99" s="117"/>
      <c r="R99" s="117"/>
      <c r="S99" s="117"/>
      <c r="T99" s="117"/>
      <c r="U99" s="117"/>
      <c r="V99" s="117"/>
      <c r="W99" s="117"/>
      <c r="X99" s="117"/>
      <c r="Y99" s="117"/>
      <c r="Z99" s="117"/>
      <c r="AA99" s="117"/>
      <c r="AB99" s="117"/>
      <c r="AD99" s="117"/>
      <c r="AO99" s="117"/>
    </row>
    <row r="100" spans="1:41" x14ac:dyDescent="0.3">
      <c r="A100" s="87"/>
      <c r="B100" s="87"/>
      <c r="C100" s="87"/>
      <c r="D100" s="87"/>
      <c r="E100" s="87"/>
      <c r="F100" s="87"/>
      <c r="G100" s="88"/>
      <c r="I100" s="117"/>
      <c r="J100" s="117"/>
      <c r="K100" s="117"/>
      <c r="L100" s="117"/>
      <c r="M100" s="117"/>
      <c r="N100" s="117"/>
      <c r="O100" s="117"/>
      <c r="P100" s="117"/>
      <c r="Q100" s="117"/>
      <c r="R100" s="117"/>
      <c r="S100" s="117"/>
      <c r="T100" s="117"/>
      <c r="U100" s="117"/>
      <c r="V100" s="117"/>
      <c r="W100" s="117"/>
      <c r="X100" s="117"/>
      <c r="Y100" s="117"/>
      <c r="Z100" s="117"/>
      <c r="AA100" s="117"/>
      <c r="AB100" s="117"/>
      <c r="AD100" s="117"/>
      <c r="AO100" s="117"/>
    </row>
    <row r="101" spans="1:41" ht="39" customHeight="1" x14ac:dyDescent="0.3">
      <c r="A101" s="87"/>
      <c r="B101" s="87"/>
      <c r="C101" s="87"/>
      <c r="D101" s="444" t="s">
        <v>499</v>
      </c>
      <c r="E101" s="444" t="s">
        <v>782</v>
      </c>
      <c r="F101" s="444" t="s">
        <v>783</v>
      </c>
      <c r="G101" s="444" t="s">
        <v>784</v>
      </c>
      <c r="I101" s="117"/>
      <c r="J101" s="117"/>
      <c r="K101" s="117"/>
      <c r="L101" s="117"/>
      <c r="M101" s="117"/>
      <c r="N101" s="117"/>
      <c r="O101" s="117"/>
      <c r="P101" s="117"/>
      <c r="Q101" s="117"/>
      <c r="R101" s="117"/>
      <c r="S101" s="117"/>
      <c r="T101" s="117"/>
      <c r="U101" s="117"/>
      <c r="V101" s="117"/>
      <c r="W101" s="117"/>
      <c r="X101" s="117"/>
      <c r="Y101" s="117"/>
      <c r="Z101" s="117"/>
      <c r="AA101" s="117"/>
      <c r="AB101" s="117"/>
      <c r="AD101" s="117"/>
      <c r="AO101" s="117"/>
    </row>
    <row r="102" spans="1:41" ht="15" customHeight="1" x14ac:dyDescent="0.3">
      <c r="A102" s="87"/>
      <c r="B102" s="87"/>
      <c r="C102" s="293" t="str">
        <f>IF(AND(OR($G$67=$R$130,$G$67=$R$132,$G$67=$R$133),OR($G$86=$R$130,$G$86=$R$132,$G$86=$R$133)),"",IF(E102=$R$132,"",IF(OR(E102="",F102=""),"&gt;","")))</f>
        <v/>
      </c>
      <c r="D102" s="169" t="s">
        <v>785</v>
      </c>
      <c r="E102" s="230" t="s">
        <v>811</v>
      </c>
      <c r="F102" s="231">
        <v>0.6</v>
      </c>
      <c r="G102" s="170">
        <f>IF(E102="no",0,F102*SUM(G30:G31))</f>
        <v>0</v>
      </c>
      <c r="I102" s="117"/>
      <c r="J102" s="117"/>
      <c r="K102" s="117"/>
      <c r="L102" s="117"/>
      <c r="M102" s="117"/>
      <c r="N102" s="117"/>
      <c r="O102" s="117"/>
      <c r="P102" s="117"/>
      <c r="Q102" s="117"/>
      <c r="R102" s="117"/>
      <c r="S102" s="117"/>
      <c r="T102" s="117"/>
      <c r="U102" s="117"/>
      <c r="V102" s="117"/>
      <c r="W102" s="117"/>
      <c r="X102" s="117"/>
      <c r="Y102" s="117"/>
      <c r="Z102" s="117"/>
      <c r="AA102" s="117"/>
      <c r="AB102" s="117"/>
      <c r="AD102" s="117"/>
      <c r="AO102" s="117"/>
    </row>
    <row r="103" spans="1:41" ht="15" customHeight="1" x14ac:dyDescent="0.3">
      <c r="A103" s="87"/>
      <c r="B103" s="87"/>
      <c r="C103" s="293" t="str">
        <f>IF(B30=S132,"",IF(AND(OR($G$67=$R$130,$G$67=$R$132,$G$67=$R$133),OR($G$86=$R$130,$G$86=$R$132,$G$86=$R$133)),"",IF(E103=$R$132,"",IF(OR(E103="",F103=""),"&gt;",""))))</f>
        <v/>
      </c>
      <c r="D103" s="169" t="s">
        <v>786</v>
      </c>
      <c r="E103" s="230" t="s">
        <v>753</v>
      </c>
      <c r="F103" s="231"/>
      <c r="G103" s="170">
        <f>IF(OR(E103="no",B30=S132),0,F103*SUM(G34:G40))</f>
        <v>0</v>
      </c>
      <c r="I103" s="117"/>
      <c r="J103" s="117"/>
      <c r="K103" s="117"/>
      <c r="L103" s="117"/>
      <c r="M103" s="117"/>
      <c r="N103" s="117"/>
      <c r="O103" s="117"/>
      <c r="P103" s="117"/>
      <c r="Q103" s="117"/>
      <c r="R103" s="117"/>
      <c r="S103" s="117"/>
      <c r="T103" s="117"/>
      <c r="U103" s="117"/>
      <c r="V103" s="117"/>
      <c r="W103" s="117"/>
      <c r="X103" s="117"/>
      <c r="Y103" s="117"/>
      <c r="Z103" s="117"/>
      <c r="AA103" s="117"/>
      <c r="AB103" s="117"/>
      <c r="AD103" s="117"/>
      <c r="AO103" s="117"/>
    </row>
    <row r="104" spans="1:41" ht="25" customHeight="1" x14ac:dyDescent="0.3">
      <c r="A104" s="87"/>
      <c r="B104" s="87"/>
      <c r="C104" s="87"/>
      <c r="D104" s="87"/>
      <c r="E104" s="87"/>
      <c r="F104" s="87"/>
      <c r="G104" s="444" t="s">
        <v>787</v>
      </c>
      <c r="I104" s="117"/>
      <c r="J104" s="117"/>
      <c r="K104" s="117"/>
      <c r="L104" s="117"/>
      <c r="M104" s="117"/>
      <c r="N104" s="117"/>
      <c r="O104" s="117"/>
      <c r="P104" s="117"/>
      <c r="Q104" s="117"/>
      <c r="R104" s="117"/>
      <c r="S104" s="117"/>
      <c r="T104" s="117"/>
      <c r="U104" s="117"/>
      <c r="V104" s="117"/>
      <c r="W104" s="117"/>
      <c r="X104" s="117"/>
      <c r="Y104" s="117"/>
      <c r="Z104" s="117"/>
      <c r="AA104" s="117"/>
      <c r="AB104" s="117"/>
      <c r="AD104" s="117"/>
      <c r="AO104" s="117"/>
    </row>
    <row r="105" spans="1:41" ht="15" customHeight="1" x14ac:dyDescent="0.3">
      <c r="A105" s="87"/>
      <c r="B105" s="87"/>
      <c r="C105" s="87"/>
      <c r="D105" s="87"/>
      <c r="E105" s="87"/>
      <c r="F105" s="171" t="s">
        <v>748</v>
      </c>
      <c r="G105" s="92">
        <f>IF((SUM(G102:G103))&gt;G99,G99,SUM(G102:G103))</f>
        <v>0</v>
      </c>
      <c r="I105" s="117"/>
      <c r="J105" s="117"/>
      <c r="K105" s="117"/>
      <c r="L105" s="117"/>
      <c r="M105" s="117"/>
      <c r="N105" s="117"/>
      <c r="O105" s="117"/>
      <c r="P105" s="117"/>
      <c r="Q105" s="117"/>
      <c r="R105" s="117"/>
      <c r="S105" s="117"/>
      <c r="T105" s="117"/>
      <c r="U105" s="117"/>
      <c r="V105" s="117"/>
      <c r="W105" s="117"/>
      <c r="X105" s="117"/>
      <c r="Y105" s="117"/>
      <c r="Z105" s="117"/>
      <c r="AA105" s="117"/>
      <c r="AB105" s="117"/>
      <c r="AD105" s="117"/>
      <c r="AO105" s="117"/>
    </row>
    <row r="106" spans="1:41" ht="25" customHeight="1" x14ac:dyDescent="0.3">
      <c r="A106" s="87"/>
      <c r="B106" s="87"/>
      <c r="C106" s="87"/>
      <c r="D106" s="115" t="s">
        <v>788</v>
      </c>
      <c r="E106" s="87"/>
      <c r="F106" s="87"/>
      <c r="G106" s="88"/>
      <c r="I106" s="117"/>
      <c r="J106" s="117"/>
      <c r="K106" s="117"/>
      <c r="L106" s="117"/>
      <c r="M106" s="117"/>
      <c r="N106" s="117"/>
      <c r="O106" s="117"/>
      <c r="P106" s="117"/>
      <c r="Q106" s="117"/>
      <c r="R106" s="117"/>
      <c r="S106" s="117"/>
      <c r="T106" s="117"/>
      <c r="U106" s="117"/>
      <c r="V106" s="117"/>
      <c r="W106" s="117"/>
      <c r="X106" s="117"/>
      <c r="Y106" s="117"/>
      <c r="Z106" s="117"/>
      <c r="AA106" s="117"/>
      <c r="AB106" s="117"/>
      <c r="AD106" s="117"/>
      <c r="AO106" s="117"/>
    </row>
    <row r="107" spans="1:41" ht="15" customHeight="1" x14ac:dyDescent="0.3">
      <c r="A107" s="87"/>
      <c r="B107" s="87"/>
      <c r="C107" s="293" t="str">
        <f>IF(AND(OR($G$67=$R$130,$G$67=$R$132,$G$67=$R$133),OR($G$86=$R$130,$G$86=$R$132,$G$86=$R$133)),"",IF(G107=$R$130,"&gt;",""))</f>
        <v/>
      </c>
      <c r="D107" s="214"/>
      <c r="E107" s="134"/>
      <c r="F107" s="107" t="s">
        <v>789</v>
      </c>
      <c r="G107" s="232" t="s">
        <v>811</v>
      </c>
      <c r="I107" s="117"/>
      <c r="J107" s="117"/>
      <c r="K107" s="117"/>
      <c r="L107" s="117"/>
      <c r="M107" s="117"/>
      <c r="N107" s="117"/>
      <c r="O107" s="117"/>
      <c r="P107" s="117"/>
      <c r="Q107" s="117"/>
      <c r="R107" s="117"/>
      <c r="S107" s="117"/>
      <c r="T107" s="117"/>
      <c r="U107" s="117"/>
      <c r="V107" s="117"/>
      <c r="W107" s="117"/>
      <c r="X107" s="117"/>
      <c r="Y107" s="117"/>
      <c r="Z107" s="117"/>
      <c r="AA107" s="117"/>
      <c r="AB107" s="117"/>
      <c r="AD107" s="117"/>
      <c r="AO107" s="117"/>
    </row>
    <row r="108" spans="1:41" ht="25" customHeight="1" x14ac:dyDescent="0.3">
      <c r="A108" s="87"/>
      <c r="B108" s="87"/>
      <c r="C108" s="87"/>
      <c r="D108" s="87"/>
      <c r="E108" s="87"/>
      <c r="F108" s="87"/>
      <c r="G108" s="444" t="s">
        <v>790</v>
      </c>
      <c r="I108" s="117"/>
      <c r="J108" s="117"/>
      <c r="K108" s="117"/>
      <c r="L108" s="117"/>
      <c r="M108" s="117"/>
      <c r="N108" s="117"/>
      <c r="O108" s="117"/>
      <c r="P108" s="117"/>
      <c r="Q108" s="117"/>
      <c r="R108" s="117"/>
      <c r="S108" s="117"/>
      <c r="T108" s="117"/>
      <c r="U108" s="117"/>
      <c r="V108" s="117"/>
      <c r="W108" s="117"/>
      <c r="X108" s="117"/>
      <c r="Y108" s="117"/>
      <c r="Z108" s="117"/>
      <c r="AA108" s="117"/>
      <c r="AB108" s="117"/>
      <c r="AD108" s="117"/>
      <c r="AO108" s="117"/>
    </row>
    <row r="109" spans="1:41" ht="15" customHeight="1" x14ac:dyDescent="0.3">
      <c r="A109" s="87"/>
      <c r="B109" s="87"/>
      <c r="C109" s="87"/>
      <c r="D109" s="87"/>
      <c r="E109" s="87"/>
      <c r="F109" s="87"/>
      <c r="G109" s="174" t="str">
        <f>IF(ISERROR(IF(AND(G107="yes",G105&gt;G99),0,(G99-G105)*O140)),R138,IF(AND(G107="yes",G105&gt;G99),0,(G99-G105)*O140))</f>
        <v>Requires building information</v>
      </c>
      <c r="I109" s="117"/>
      <c r="J109" s="117"/>
      <c r="K109" s="117"/>
      <c r="L109" s="117"/>
      <c r="M109" s="117"/>
      <c r="N109" s="117"/>
      <c r="O109" s="117"/>
      <c r="P109" s="117"/>
      <c r="Q109" s="117"/>
      <c r="R109" s="117"/>
      <c r="S109" s="117"/>
      <c r="T109" s="117"/>
      <c r="U109" s="117"/>
      <c r="V109" s="117"/>
      <c r="W109" s="117"/>
      <c r="X109" s="117"/>
      <c r="Y109" s="117"/>
      <c r="Z109" s="117"/>
      <c r="AA109" s="117"/>
      <c r="AB109" s="117"/>
      <c r="AD109" s="117"/>
      <c r="AO109" s="117"/>
    </row>
    <row r="110" spans="1:41" ht="15" customHeight="1" x14ac:dyDescent="0.3">
      <c r="A110" s="87"/>
      <c r="B110" s="87"/>
      <c r="C110" s="293" t="str">
        <f>IF(AND(OR($G$67=$R$130,$G$67=$R$132,$G$67=$R$133),OR($G$86=$R$130,$G$86=$R$132,$G$86=$R$133)),"",IF(AND(G107=$R$131,G110=""),"&gt;",""))</f>
        <v/>
      </c>
      <c r="D110" s="172"/>
      <c r="E110" s="173"/>
      <c r="F110" s="107" t="s">
        <v>791</v>
      </c>
      <c r="G110" s="233">
        <v>1</v>
      </c>
      <c r="I110" s="117"/>
      <c r="J110" s="117"/>
      <c r="K110" s="117"/>
      <c r="L110" s="117"/>
      <c r="M110" s="117"/>
      <c r="N110" s="117"/>
      <c r="O110" s="117"/>
      <c r="P110" s="117"/>
      <c r="Q110" s="117"/>
      <c r="R110" s="117"/>
      <c r="S110" s="117"/>
      <c r="T110" s="117"/>
      <c r="U110" s="117"/>
      <c r="V110" s="117"/>
      <c r="W110" s="117"/>
      <c r="X110" s="117"/>
      <c r="Y110" s="117"/>
      <c r="Z110" s="117"/>
      <c r="AA110" s="117"/>
      <c r="AB110" s="117"/>
      <c r="AD110" s="117"/>
      <c r="AO110" s="117"/>
    </row>
    <row r="111" spans="1:41" ht="25" customHeight="1" x14ac:dyDescent="0.3">
      <c r="A111" s="87"/>
      <c r="B111" s="87"/>
      <c r="C111" s="87"/>
      <c r="D111" s="87"/>
      <c r="E111" s="87"/>
      <c r="F111" s="87"/>
      <c r="G111" s="444" t="s">
        <v>792</v>
      </c>
      <c r="I111" s="117"/>
      <c r="J111" s="117"/>
      <c r="K111" s="117"/>
      <c r="L111" s="117"/>
      <c r="M111" s="117"/>
      <c r="N111" s="117"/>
      <c r="O111" s="117"/>
      <c r="P111" s="117"/>
      <c r="Q111" s="117"/>
      <c r="R111" s="117"/>
      <c r="S111" s="117"/>
      <c r="T111" s="117"/>
      <c r="U111" s="117"/>
      <c r="V111" s="117"/>
      <c r="W111" s="117"/>
      <c r="X111" s="117"/>
      <c r="Y111" s="117"/>
      <c r="Z111" s="117"/>
      <c r="AA111" s="117"/>
      <c r="AB111" s="117"/>
      <c r="AD111" s="117"/>
      <c r="AO111" s="117"/>
    </row>
    <row r="112" spans="1:41" ht="15" customHeight="1" x14ac:dyDescent="0.3">
      <c r="A112" s="87"/>
      <c r="B112" s="87"/>
      <c r="C112" s="87"/>
      <c r="D112" s="87"/>
      <c r="E112" s="87"/>
      <c r="F112" s="113" t="s">
        <v>748</v>
      </c>
      <c r="G112" s="170" t="str">
        <f>IF(ISERROR((G110*G109)/O140),R138,(G110*G109)/O140)</f>
        <v>Requires building information</v>
      </c>
      <c r="I112" s="117"/>
      <c r="J112" s="117"/>
      <c r="K112" s="117"/>
      <c r="L112" s="117"/>
      <c r="M112" s="117"/>
      <c r="N112" s="117"/>
      <c r="O112" s="117"/>
      <c r="P112" s="117"/>
      <c r="Q112" s="117"/>
      <c r="R112" s="117"/>
      <c r="S112" s="117"/>
      <c r="T112" s="117"/>
      <c r="U112" s="117"/>
      <c r="V112" s="117"/>
      <c r="W112" s="117"/>
      <c r="X112" s="117"/>
      <c r="Y112" s="117"/>
      <c r="Z112" s="117"/>
      <c r="AA112" s="117"/>
      <c r="AB112" s="117"/>
    </row>
    <row r="113" spans="1:28" ht="15" customHeight="1" x14ac:dyDescent="0.3">
      <c r="A113" s="87"/>
      <c r="B113" s="87"/>
      <c r="C113" s="87"/>
      <c r="D113" s="87"/>
      <c r="E113" s="87"/>
      <c r="F113" s="87"/>
      <c r="G113" s="88"/>
      <c r="I113" s="117"/>
      <c r="J113" s="117"/>
      <c r="K113" s="117"/>
      <c r="L113" s="117"/>
      <c r="M113" s="117"/>
      <c r="N113" s="117"/>
      <c r="O113" s="117"/>
      <c r="P113" s="117"/>
      <c r="Q113" s="117"/>
      <c r="R113" s="117"/>
      <c r="S113" s="117"/>
      <c r="T113" s="117"/>
      <c r="U113" s="117"/>
      <c r="V113" s="117"/>
      <c r="W113" s="117"/>
      <c r="X113" s="117"/>
      <c r="Y113" s="117"/>
      <c r="Z113" s="117"/>
      <c r="AA113" s="117"/>
      <c r="AB113" s="117"/>
    </row>
    <row r="114" spans="1:28" ht="39" customHeight="1" x14ac:dyDescent="0.3">
      <c r="A114" s="87"/>
      <c r="B114" s="87"/>
      <c r="C114" s="87"/>
      <c r="D114" s="87"/>
      <c r="E114" s="87"/>
      <c r="F114" s="87"/>
      <c r="G114" s="444" t="s">
        <v>793</v>
      </c>
      <c r="I114" s="117"/>
      <c r="J114" s="117"/>
      <c r="K114" s="117"/>
      <c r="L114" s="117"/>
      <c r="M114" s="117"/>
      <c r="N114" s="117"/>
      <c r="O114" s="117"/>
      <c r="P114" s="117"/>
      <c r="Q114" s="117"/>
      <c r="R114" s="117"/>
      <c r="S114" s="117"/>
      <c r="T114" s="117"/>
      <c r="U114" s="117"/>
      <c r="V114" s="117"/>
      <c r="W114" s="117"/>
      <c r="X114" s="117"/>
      <c r="Y114" s="117"/>
      <c r="Z114" s="117"/>
      <c r="AA114" s="117"/>
      <c r="AB114" s="117"/>
    </row>
    <row r="115" spans="1:28" ht="15" customHeight="1" x14ac:dyDescent="0.3">
      <c r="A115" s="87"/>
      <c r="B115" s="87"/>
      <c r="C115" s="87"/>
      <c r="D115" s="87"/>
      <c r="E115" s="87"/>
      <c r="F115" s="113" t="s">
        <v>749</v>
      </c>
      <c r="G115" s="92" t="str">
        <f>IF(ISERROR(G105+G112),R138,G105+G112)</f>
        <v>Requires building information</v>
      </c>
      <c r="I115" s="117"/>
      <c r="J115" s="117"/>
      <c r="K115" s="117"/>
      <c r="L115" s="117"/>
      <c r="M115" s="117"/>
      <c r="N115" s="117"/>
      <c r="O115" s="117"/>
      <c r="P115" s="117"/>
      <c r="Q115" s="117"/>
      <c r="R115" s="117"/>
      <c r="S115" s="117"/>
      <c r="T115" s="117"/>
      <c r="U115" s="117"/>
      <c r="V115" s="117"/>
      <c r="W115" s="117"/>
      <c r="X115" s="117"/>
      <c r="Y115" s="117"/>
      <c r="Z115" s="117"/>
      <c r="AA115" s="117"/>
      <c r="AB115" s="117"/>
    </row>
    <row r="116" spans="1:28" ht="25" customHeight="1" x14ac:dyDescent="0.3">
      <c r="A116" s="87"/>
      <c r="B116" s="87"/>
      <c r="C116" s="87"/>
      <c r="D116" s="87"/>
      <c r="E116" s="87"/>
      <c r="F116" s="87"/>
      <c r="G116" s="88"/>
      <c r="I116" s="117"/>
      <c r="J116" s="117"/>
      <c r="K116" s="117"/>
      <c r="L116" s="117"/>
      <c r="M116" s="117"/>
      <c r="N116" s="117"/>
      <c r="O116" s="117"/>
      <c r="P116" s="117"/>
      <c r="Q116" s="117"/>
      <c r="R116" s="117"/>
      <c r="S116" s="117"/>
      <c r="T116" s="117"/>
      <c r="U116" s="117"/>
      <c r="V116" s="117"/>
      <c r="W116" s="117"/>
      <c r="X116" s="117"/>
      <c r="Y116" s="117"/>
      <c r="Z116" s="117"/>
      <c r="AA116" s="117"/>
      <c r="AB116" s="117"/>
    </row>
    <row r="117" spans="1:28" ht="32.15" customHeight="1" x14ac:dyDescent="0.3">
      <c r="A117" s="87"/>
      <c r="B117" s="422" t="s">
        <v>794</v>
      </c>
      <c r="C117" s="422"/>
      <c r="D117" s="422"/>
      <c r="E117" s="422"/>
      <c r="F117" s="422"/>
      <c r="G117" s="422"/>
      <c r="I117" s="117"/>
      <c r="J117" s="117"/>
      <c r="K117" s="117"/>
      <c r="L117" s="117"/>
      <c r="M117" s="117"/>
      <c r="N117" s="117"/>
      <c r="O117" s="117"/>
      <c r="P117" s="117"/>
      <c r="Q117" s="117"/>
      <c r="R117" s="117"/>
      <c r="S117" s="117"/>
      <c r="T117" s="117"/>
      <c r="U117" s="117"/>
      <c r="V117" s="117"/>
      <c r="W117" s="117"/>
      <c r="X117" s="117"/>
      <c r="Y117" s="117"/>
      <c r="Z117" s="117"/>
      <c r="AA117" s="117"/>
      <c r="AB117" s="117"/>
    </row>
    <row r="118" spans="1:28" ht="25" customHeight="1" x14ac:dyDescent="0.3">
      <c r="A118" s="87"/>
      <c r="B118" s="87"/>
      <c r="C118" s="136"/>
      <c r="D118" s="87"/>
      <c r="E118" s="87"/>
      <c r="F118" s="87"/>
      <c r="G118" s="88"/>
      <c r="I118" s="117"/>
      <c r="J118" s="117"/>
      <c r="K118" s="117"/>
      <c r="L118" s="117"/>
      <c r="M118" s="117"/>
      <c r="N118" s="117"/>
      <c r="O118" s="117"/>
      <c r="P118" s="117"/>
      <c r="Q118" s="117"/>
      <c r="R118" s="117"/>
      <c r="S118" s="117"/>
      <c r="T118" s="117"/>
      <c r="U118" s="117"/>
      <c r="V118" s="117"/>
      <c r="W118" s="117"/>
      <c r="X118" s="117"/>
      <c r="Y118" s="117"/>
      <c r="Z118" s="117"/>
      <c r="AA118" s="117"/>
      <c r="AB118" s="117"/>
    </row>
    <row r="119" spans="1:28" ht="25" customHeight="1" x14ac:dyDescent="0.3">
      <c r="A119" s="87"/>
      <c r="B119" s="87"/>
      <c r="C119" s="136"/>
      <c r="E119" s="87"/>
      <c r="F119" s="444" t="s">
        <v>738</v>
      </c>
      <c r="G119" s="444" t="s">
        <v>795</v>
      </c>
      <c r="H119" s="117" t="str">
        <f>IF(G14=R132,O156,"")</f>
        <v/>
      </c>
      <c r="I119" s="117"/>
      <c r="J119" s="117"/>
      <c r="K119" s="117"/>
      <c r="L119" s="117"/>
      <c r="M119" s="117"/>
      <c r="N119" s="117"/>
      <c r="O119" s="117"/>
      <c r="P119" s="117"/>
      <c r="Q119" s="117"/>
      <c r="R119" s="117"/>
      <c r="S119" s="117"/>
      <c r="T119" s="117"/>
      <c r="U119" s="117"/>
      <c r="V119" s="117"/>
      <c r="W119" s="117"/>
      <c r="X119" s="117"/>
      <c r="Y119" s="117"/>
      <c r="Z119" s="117"/>
      <c r="AA119" s="117"/>
      <c r="AB119" s="117"/>
    </row>
    <row r="120" spans="1:28" ht="15" customHeight="1" x14ac:dyDescent="0.3">
      <c r="A120" s="87"/>
      <c r="B120" s="447"/>
      <c r="C120" s="448"/>
      <c r="D120" s="448"/>
      <c r="E120" s="449" t="s">
        <v>796</v>
      </c>
      <c r="F120" s="175" t="str">
        <f>IF(ISERROR(S63),R138,S63)</f>
        <v>Requires building information</v>
      </c>
      <c r="G120" s="175" t="str">
        <f>IF(ISERROR((F120/1000)*$F$13),R138,(F120/1000)*$F$13)</f>
        <v>Requires building information</v>
      </c>
      <c r="I120" s="117"/>
      <c r="J120" s="117"/>
      <c r="K120" s="117"/>
      <c r="L120" s="117"/>
      <c r="M120" s="117"/>
      <c r="N120" s="117"/>
      <c r="O120" s="117"/>
      <c r="P120" s="117"/>
      <c r="Q120" s="117"/>
      <c r="R120" s="117"/>
      <c r="S120" s="117"/>
      <c r="T120" s="117"/>
      <c r="U120" s="117"/>
      <c r="V120" s="117"/>
      <c r="W120" s="117"/>
      <c r="X120" s="117"/>
      <c r="Y120" s="117"/>
      <c r="Z120" s="117"/>
      <c r="AA120" s="117"/>
      <c r="AB120" s="117"/>
    </row>
    <row r="121" spans="1:28" x14ac:dyDescent="0.3">
      <c r="A121" s="87"/>
      <c r="B121" s="87"/>
      <c r="C121" s="87"/>
      <c r="D121" s="87"/>
      <c r="E121" s="136"/>
      <c r="F121" s="138"/>
      <c r="G121" s="88"/>
      <c r="I121" s="117"/>
      <c r="J121" s="117"/>
      <c r="K121" s="117"/>
      <c r="L121" s="117"/>
      <c r="M121" s="117"/>
      <c r="N121" s="117"/>
      <c r="O121" s="117"/>
      <c r="P121" s="117"/>
      <c r="Q121" s="117"/>
      <c r="R121" s="474" t="s">
        <v>807</v>
      </c>
      <c r="S121" s="117"/>
      <c r="T121" s="117"/>
      <c r="U121" s="117"/>
      <c r="V121" s="117"/>
      <c r="W121" s="117"/>
      <c r="X121" s="117"/>
      <c r="Y121" s="117"/>
      <c r="Z121" s="117"/>
      <c r="AA121" s="117"/>
      <c r="AB121" s="117"/>
    </row>
    <row r="122" spans="1:28" ht="15" customHeight="1" x14ac:dyDescent="0.3">
      <c r="A122" s="87"/>
      <c r="B122" s="450"/>
      <c r="C122" s="442"/>
      <c r="D122" s="448"/>
      <c r="E122" s="449" t="s">
        <v>797</v>
      </c>
      <c r="F122" s="175" t="str">
        <f>IF(ISERROR(G63-S66),R138,G63-S66)</f>
        <v>Requires building information</v>
      </c>
      <c r="G122" s="175" t="str">
        <f>IF(ISERROR((F122/1000)*$F$13),R138,(F122/1000)*$F$13)</f>
        <v>Requires building information</v>
      </c>
      <c r="I122" s="117"/>
      <c r="J122" s="117"/>
      <c r="K122" s="117"/>
      <c r="L122" s="117"/>
      <c r="M122" s="117"/>
      <c r="N122" s="117"/>
      <c r="O122" s="142" t="s">
        <v>800</v>
      </c>
      <c r="P122" s="140"/>
      <c r="Q122" s="117"/>
      <c r="R122" s="475" t="s">
        <v>699</v>
      </c>
      <c r="S122" s="117"/>
      <c r="T122" s="117"/>
      <c r="U122" s="117"/>
      <c r="V122" s="117"/>
      <c r="W122" s="117"/>
      <c r="X122" s="117"/>
      <c r="Y122" s="117"/>
      <c r="Z122" s="117"/>
      <c r="AA122" s="117"/>
      <c r="AB122" s="117"/>
    </row>
    <row r="123" spans="1:28" x14ac:dyDescent="0.3">
      <c r="A123" s="87"/>
      <c r="B123" s="87"/>
      <c r="C123" s="87"/>
      <c r="D123" s="87"/>
      <c r="E123" s="136"/>
      <c r="F123" s="138"/>
      <c r="G123" s="138"/>
      <c r="I123" s="117"/>
      <c r="J123" s="117"/>
      <c r="K123" s="117"/>
      <c r="L123" s="117"/>
      <c r="M123" s="117"/>
      <c r="N123" s="117"/>
      <c r="O123" s="143" t="e">
        <f>1-(F122-F124)/F120</f>
        <v>#VALUE!</v>
      </c>
      <c r="P123" s="140" t="s">
        <v>802</v>
      </c>
      <c r="Q123" s="117"/>
      <c r="R123" s="475" t="s">
        <v>813</v>
      </c>
      <c r="S123" s="117"/>
      <c r="T123" s="117"/>
      <c r="U123" s="117"/>
      <c r="V123" s="117"/>
      <c r="W123" s="117"/>
      <c r="X123" s="117"/>
      <c r="Y123" s="117"/>
      <c r="Z123" s="117"/>
      <c r="AA123" s="117"/>
      <c r="AB123" s="117"/>
    </row>
    <row r="124" spans="1:28" ht="15" customHeight="1" x14ac:dyDescent="0.3">
      <c r="A124" s="87"/>
      <c r="B124" s="450"/>
      <c r="C124" s="442"/>
      <c r="D124" s="448"/>
      <c r="E124" s="449" t="s">
        <v>798</v>
      </c>
      <c r="F124" s="175" t="str">
        <f>IF(ISERROR(G115),R138,G115)</f>
        <v>Requires building information</v>
      </c>
      <c r="G124" s="175" t="str">
        <f>IF(ISERROR((F124/1000)*$F$13),R138,(F124/1000)*$F$13)</f>
        <v>Requires building information</v>
      </c>
      <c r="H124" s="119"/>
      <c r="I124" s="139"/>
      <c r="J124" s="139"/>
      <c r="K124" s="139"/>
      <c r="L124" s="139"/>
      <c r="M124" s="117"/>
      <c r="N124" s="117"/>
      <c r="O124" s="144"/>
      <c r="P124" s="140"/>
      <c r="Q124" s="117"/>
      <c r="R124" s="475" t="s">
        <v>816</v>
      </c>
      <c r="S124" s="117"/>
      <c r="T124" s="117"/>
      <c r="U124" s="117"/>
      <c r="V124" s="117"/>
      <c r="W124" s="117"/>
      <c r="X124" s="117"/>
      <c r="Y124" s="117"/>
      <c r="Z124" s="117"/>
      <c r="AA124" s="117"/>
      <c r="AB124" s="117"/>
    </row>
    <row r="125" spans="1:28" x14ac:dyDescent="0.3">
      <c r="A125" s="87"/>
      <c r="B125" s="87"/>
      <c r="C125" s="87"/>
      <c r="D125" s="87"/>
      <c r="E125" s="136"/>
      <c r="F125" s="138"/>
      <c r="G125" s="138"/>
      <c r="H125" s="119"/>
      <c r="I125" s="117"/>
      <c r="J125" s="117"/>
      <c r="K125" s="117"/>
      <c r="L125" s="117"/>
      <c r="M125" s="117"/>
      <c r="N125" s="117"/>
      <c r="O125" s="143" t="e">
        <f>VLOOKUP(O123,CreditsRet,2,TRUE)</f>
        <v>#VALUE!</v>
      </c>
      <c r="P125" s="140" t="s">
        <v>804</v>
      </c>
      <c r="Q125" s="117"/>
      <c r="R125" s="475" t="s">
        <v>818</v>
      </c>
      <c r="S125" s="117"/>
      <c r="T125" s="117"/>
      <c r="U125" s="117"/>
      <c r="V125" s="117"/>
      <c r="W125" s="117"/>
      <c r="X125" s="117"/>
      <c r="Y125" s="117"/>
      <c r="Z125" s="117"/>
      <c r="AA125" s="117"/>
      <c r="AB125" s="117"/>
    </row>
    <row r="126" spans="1:28" ht="15" customHeight="1" x14ac:dyDescent="0.3">
      <c r="A126" s="87"/>
      <c r="B126" s="447"/>
      <c r="C126" s="448"/>
      <c r="D126" s="448"/>
      <c r="E126" s="449" t="s">
        <v>799</v>
      </c>
      <c r="F126" s="175" t="str">
        <f>IF(ISERROR(IF(AND((OR(G86=R133,G86=R132)),((OR(G67=R133,G67=R132)))),R133,IF(OR(O125="1 credit",O125="2 credits",O125="3 credits"),R136,IF(OR(O125="4 credits",O125="5 credits"),(IF((1-(F122/F120))&lt;0.25,"No","Yes")))))),R138,IF(AND((OR(G86=R133,G86=R132)),((OR(G67=R133,G67=R132)))),R133,IF(OR(O125="1 credit",O125="2 credits",O125="3 credits"),R136,IF(OR(O125="4 credits",O125="5 credits"),(IF((1-(F122/F120))&lt;0.25,"No","Yes"))))))</f>
        <v>Requires building information</v>
      </c>
      <c r="G126" s="138"/>
      <c r="H126" s="119"/>
      <c r="I126" s="141"/>
      <c r="J126" s="141"/>
      <c r="K126" s="141"/>
      <c r="L126" s="141"/>
      <c r="M126" s="87"/>
      <c r="N126" s="87"/>
      <c r="O126" s="140"/>
      <c r="P126" s="117"/>
      <c r="Q126" s="117"/>
      <c r="R126" s="117"/>
      <c r="S126" s="117"/>
      <c r="T126" s="117"/>
      <c r="U126" s="117"/>
      <c r="V126" s="117"/>
      <c r="W126" s="117"/>
      <c r="X126" s="117"/>
      <c r="Y126" s="117"/>
      <c r="Z126" s="117"/>
      <c r="AA126" s="117"/>
      <c r="AB126" s="117"/>
    </row>
    <row r="127" spans="1:28" ht="25" customHeight="1" x14ac:dyDescent="0.3">
      <c r="A127" s="87"/>
      <c r="B127" s="87"/>
      <c r="C127" s="87"/>
      <c r="D127" s="87"/>
      <c r="E127" s="136"/>
      <c r="F127" s="138"/>
      <c r="G127" s="138"/>
      <c r="H127" s="119"/>
      <c r="I127" s="117"/>
      <c r="J127" s="117"/>
      <c r="K127" s="117"/>
      <c r="L127" s="117"/>
      <c r="M127" s="87"/>
      <c r="N127" s="87"/>
      <c r="O127" s="128"/>
      <c r="P127" s="117"/>
      <c r="Q127" s="117"/>
      <c r="R127" s="117"/>
      <c r="S127" s="117"/>
      <c r="T127" s="117"/>
      <c r="U127" s="117"/>
      <c r="V127" s="117"/>
      <c r="W127" s="117"/>
      <c r="X127" s="117"/>
      <c r="Y127" s="117"/>
      <c r="Z127" s="117"/>
      <c r="AA127" s="117"/>
      <c r="AB127" s="117"/>
    </row>
    <row r="128" spans="1:28" ht="15" customHeight="1" x14ac:dyDescent="0.3">
      <c r="A128" s="87"/>
      <c r="B128" s="450"/>
      <c r="C128" s="442"/>
      <c r="D128" s="448"/>
      <c r="E128" s="449" t="s">
        <v>801</v>
      </c>
      <c r="F128" s="175" t="str">
        <f>IF(ISERROR(IF(OR(F126="Yes",F126=R133),F122-F124,(F122-((1-(F122/F120))*F124)))),R138,IF(OR(F126="Yes",F126=R133),F122-F124,(F122-((1-(F122/F120))*F124))))</f>
        <v>Requires building information</v>
      </c>
      <c r="G128" s="175" t="str">
        <f>IF(ISERROR((F128/1000)*$F$13),R138,((F128/1000)*$F$13))</f>
        <v>Requires building information</v>
      </c>
      <c r="H128" s="119"/>
      <c r="I128" s="128"/>
      <c r="J128" s="128"/>
      <c r="K128" s="128"/>
      <c r="L128" s="128"/>
      <c r="M128" s="87"/>
      <c r="N128" s="87"/>
      <c r="O128" s="140"/>
      <c r="P128" s="117"/>
      <c r="Q128" s="117"/>
      <c r="R128" s="117"/>
      <c r="S128" s="117"/>
      <c r="T128" s="117"/>
      <c r="U128" s="117"/>
      <c r="V128" s="117"/>
      <c r="W128" s="117"/>
      <c r="X128" s="117"/>
      <c r="Y128" s="117"/>
      <c r="Z128" s="117"/>
      <c r="AA128" s="117"/>
      <c r="AB128" s="117"/>
    </row>
    <row r="129" spans="1:41" x14ac:dyDescent="0.3">
      <c r="A129" s="87"/>
      <c r="B129" s="87"/>
      <c r="C129" s="87"/>
      <c r="D129" s="87"/>
      <c r="E129" s="136"/>
      <c r="F129" s="138"/>
      <c r="G129" s="138"/>
      <c r="H129" s="119"/>
      <c r="I129" s="117"/>
      <c r="J129" s="117"/>
      <c r="K129" s="117"/>
      <c r="L129" s="117"/>
      <c r="M129" s="87"/>
      <c r="N129" s="87"/>
      <c r="O129" s="140"/>
      <c r="P129" s="117"/>
      <c r="Q129" s="117"/>
      <c r="R129" s="117"/>
      <c r="S129" s="117"/>
      <c r="T129" s="117"/>
      <c r="U129" s="117"/>
      <c r="V129" s="117"/>
      <c r="W129" s="117"/>
      <c r="X129" s="117"/>
      <c r="Y129" s="117"/>
      <c r="Z129" s="117"/>
      <c r="AA129" s="117"/>
      <c r="AB129" s="117"/>
    </row>
    <row r="130" spans="1:41" ht="15" customHeight="1" x14ac:dyDescent="0.3">
      <c r="A130" s="87"/>
      <c r="B130" s="450"/>
      <c r="C130" s="442"/>
      <c r="D130" s="448"/>
      <c r="E130" s="449" t="s">
        <v>803</v>
      </c>
      <c r="F130" s="176" t="str">
        <f>IF(OR(F120=R138,F122=R138,F124=R138,F126=R138),R138,IF(OR(F126="yes",F126=R136,F126=R133),O123,(IF(F126="No",1-((F122-(F124*(1-(F122/F120))))/F120)))))</f>
        <v>Requires building information</v>
      </c>
      <c r="G130" s="88"/>
      <c r="H130" s="119"/>
      <c r="I130" s="117"/>
      <c r="J130" s="117"/>
      <c r="K130" s="117"/>
      <c r="L130" s="117"/>
      <c r="M130" s="87"/>
      <c r="O130" s="117"/>
      <c r="P130" s="117"/>
      <c r="Q130" s="117" t="s">
        <v>699</v>
      </c>
      <c r="R130" s="117" t="s">
        <v>699</v>
      </c>
      <c r="S130" s="117" t="s">
        <v>699</v>
      </c>
      <c r="T130" s="117" t="s">
        <v>699</v>
      </c>
      <c r="U130" s="147">
        <v>0</v>
      </c>
      <c r="V130" s="117"/>
      <c r="W130" s="117"/>
      <c r="X130" s="117"/>
      <c r="Y130" s="117"/>
      <c r="Z130" s="117"/>
      <c r="AA130" s="117"/>
      <c r="AB130" s="117"/>
    </row>
    <row r="131" spans="1:41" x14ac:dyDescent="0.3">
      <c r="A131" s="87"/>
      <c r="B131" s="87"/>
      <c r="C131" s="87"/>
      <c r="D131" s="87"/>
      <c r="E131" s="113"/>
      <c r="F131" s="145"/>
      <c r="G131" s="88"/>
      <c r="H131" s="119"/>
      <c r="I131" s="117"/>
      <c r="J131" s="117"/>
      <c r="K131" s="117"/>
      <c r="L131" s="117"/>
      <c r="M131" s="321"/>
      <c r="N131" s="146"/>
      <c r="O131" s="133" t="s">
        <v>833</v>
      </c>
      <c r="P131" s="133" t="s">
        <v>834</v>
      </c>
      <c r="Q131" s="117" t="s">
        <v>810</v>
      </c>
      <c r="R131" s="117" t="s">
        <v>811</v>
      </c>
      <c r="S131" s="128" t="str">
        <f>'Activity database'!I3</f>
        <v>WC - male (urinals installed)</v>
      </c>
      <c r="T131" s="149" t="s">
        <v>812</v>
      </c>
      <c r="U131" s="147">
        <v>0.01</v>
      </c>
      <c r="V131" s="117"/>
      <c r="W131" s="117"/>
      <c r="X131" s="117"/>
      <c r="Y131" s="117"/>
      <c r="Z131" s="117"/>
      <c r="AA131" s="117"/>
      <c r="AB131" s="117"/>
    </row>
    <row r="132" spans="1:41" ht="15" customHeight="1" x14ac:dyDescent="0.3">
      <c r="A132" s="87"/>
      <c r="B132" s="450"/>
      <c r="C132" s="442"/>
      <c r="D132" s="448"/>
      <c r="E132" s="449" t="s">
        <v>805</v>
      </c>
      <c r="F132" s="177" t="str">
        <f>IF(ISERROR(VLOOKUP(F130,CreditsRet,2,TRUE)),R138,VLOOKUP(F130,CreditsRet,2,TRUE))</f>
        <v>Requires building information</v>
      </c>
      <c r="G132" s="88"/>
      <c r="H132" s="119"/>
      <c r="I132" s="128"/>
      <c r="J132" s="128"/>
      <c r="K132" s="128"/>
      <c r="L132" s="128"/>
      <c r="M132" s="87"/>
      <c r="N132" s="130" t="str">
        <f t="shared" ref="N132:N138" si="5">B19</f>
        <v>Retail - sales areas for display of bulky items</v>
      </c>
      <c r="O132" s="132">
        <f>IF(G14=R132,0,IF(F19="Yes",VLOOKUP(B19,'Activity database'!A:BO,3,FALSE)*G19*2*0.4*VLOOKUP($B$13,'Activity database'!$A:$AR,5,FALSE),0))</f>
        <v>0</v>
      </c>
      <c r="P132" s="132">
        <f>IF(F19="Yes",0.013*G19,0)</f>
        <v>0</v>
      </c>
      <c r="Q132" s="117" t="s">
        <v>814</v>
      </c>
      <c r="R132" s="117" t="s">
        <v>753</v>
      </c>
      <c r="S132" s="128" t="str">
        <f>'Activity database'!J3</f>
        <v>WC - male (no urinals installed)</v>
      </c>
      <c r="T132" s="149" t="s">
        <v>815</v>
      </c>
      <c r="U132" s="147">
        <v>0.02</v>
      </c>
      <c r="V132" s="117"/>
      <c r="W132" s="117"/>
      <c r="X132" s="117"/>
      <c r="Y132" s="117"/>
      <c r="Z132" s="117"/>
      <c r="AA132" s="117"/>
      <c r="AB132" s="117"/>
    </row>
    <row r="133" spans="1:41" ht="15" customHeight="1" x14ac:dyDescent="0.3">
      <c r="A133" s="87"/>
      <c r="B133" s="87"/>
      <c r="C133" s="87"/>
      <c r="D133" s="87"/>
      <c r="E133" s="113"/>
      <c r="F133" s="91"/>
      <c r="G133" s="88"/>
      <c r="H133" s="119"/>
      <c r="I133" s="117"/>
      <c r="J133" s="117"/>
      <c r="K133" s="117"/>
      <c r="L133" s="117"/>
      <c r="M133" s="87"/>
      <c r="N133" s="130" t="str">
        <f t="shared" si="5"/>
        <v>Retail - sales areas for display of non bulky items and/or customer service area.</v>
      </c>
      <c r="O133" s="132">
        <f>IF(G14=R132,0,IF(F20="Yes",VLOOKUP(B20,'Activity database'!A:BO,3,FALSE)*G20*2*0.4*VLOOKUP($B$13,'Activity database'!$A:$AR,5,FALSE),0))</f>
        <v>0</v>
      </c>
      <c r="P133" s="132">
        <f>IF(F20="Yes",0.059*G20,0)</f>
        <v>0</v>
      </c>
      <c r="Q133" s="117"/>
      <c r="R133" s="117" t="s">
        <v>817</v>
      </c>
      <c r="S133" s="117"/>
      <c r="T133" s="117"/>
      <c r="U133" s="147">
        <v>0.03</v>
      </c>
      <c r="V133" s="117"/>
      <c r="W133" s="117"/>
      <c r="X133" s="117"/>
      <c r="Y133" s="117"/>
      <c r="Z133" s="117"/>
      <c r="AA133" s="117"/>
      <c r="AB133" s="117"/>
    </row>
    <row r="134" spans="1:41" ht="15" customHeight="1" x14ac:dyDescent="0.3">
      <c r="A134" s="87"/>
      <c r="B134" s="450"/>
      <c r="C134" s="442"/>
      <c r="D134" s="448"/>
      <c r="E134" s="449" t="s">
        <v>835</v>
      </c>
      <c r="F134" s="177" t="str">
        <f>IF(F130=R138,R138,IF(F130&gt;=ExempRet,"1 innovation credit achieved","Exemplary level not achieved"))</f>
        <v>Requires building information</v>
      </c>
      <c r="G134" s="88"/>
      <c r="H134" s="148"/>
      <c r="I134" s="128"/>
      <c r="J134" s="128"/>
      <c r="K134" s="128"/>
      <c r="L134" s="128"/>
      <c r="M134" s="87"/>
      <c r="N134" s="130" t="str">
        <f t="shared" si="5"/>
        <v>Retail - concourse/shopping mall</v>
      </c>
      <c r="O134" s="132">
        <f>IF(G14=R132,0,IF(F21="Yes",VLOOKUP(B21,'Activity database'!A:BO,3,FALSE)*G21,0))</f>
        <v>0</v>
      </c>
      <c r="P134" s="122" t="s">
        <v>515</v>
      </c>
      <c r="Q134" s="117"/>
      <c r="R134" s="117"/>
      <c r="S134" s="121" t="s">
        <v>699</v>
      </c>
      <c r="T134" s="117"/>
      <c r="U134" s="147">
        <v>0.04</v>
      </c>
      <c r="V134" s="117"/>
      <c r="W134" s="117"/>
      <c r="X134" s="117"/>
      <c r="Y134" s="117"/>
      <c r="Z134" s="117"/>
      <c r="AA134" s="117"/>
      <c r="AB134" s="117"/>
    </row>
    <row r="135" spans="1:41" ht="15" customHeight="1" x14ac:dyDescent="0.3">
      <c r="A135" s="87"/>
      <c r="B135" s="87"/>
      <c r="C135" s="87"/>
      <c r="D135" s="87"/>
      <c r="E135" s="87"/>
      <c r="F135" s="87"/>
      <c r="G135" s="88"/>
      <c r="H135" s="119"/>
      <c r="I135" s="117"/>
      <c r="J135" s="117"/>
      <c r="K135" s="117"/>
      <c r="L135" s="117"/>
      <c r="M135" s="87"/>
      <c r="N135" s="130" t="str">
        <f t="shared" si="5"/>
        <v>Retail - Staff office area and staffroom</v>
      </c>
      <c r="O135" s="122" t="s">
        <v>515</v>
      </c>
      <c r="P135" s="132">
        <f>IF(F22="Yes",VLOOKUP(B22,'Activity database'!A:BO,3,FALSE)*G22,0)</f>
        <v>0</v>
      </c>
      <c r="Q135" s="117"/>
      <c r="R135" s="117"/>
      <c r="S135" s="140" t="str">
        <f>'Activity database'!A31</f>
        <v>Retail - Shop / retail unit(s) / retail warehouse</v>
      </c>
      <c r="T135" s="117"/>
      <c r="U135" s="147">
        <v>0.05</v>
      </c>
      <c r="V135" s="117"/>
      <c r="W135" s="117"/>
      <c r="X135" s="117"/>
      <c r="Y135" s="117"/>
      <c r="Z135" s="117"/>
      <c r="AA135" s="117"/>
      <c r="AB135" s="117"/>
    </row>
    <row r="136" spans="1:41" ht="15" customHeight="1" x14ac:dyDescent="0.3">
      <c r="A136" s="87"/>
      <c r="B136" s="450"/>
      <c r="C136" s="442"/>
      <c r="D136" s="448"/>
      <c r="E136" s="449" t="s">
        <v>808</v>
      </c>
      <c r="F136" s="175" t="str">
        <f>IF(ISERROR(F122+S66-F124),R138,F122+S66-F124)</f>
        <v>Requires building information</v>
      </c>
      <c r="G136" s="175" t="str">
        <f>IF(ISERROR((F136/1000)*$F$13),R138,(F136/1000)*$F$13)</f>
        <v>Requires building information</v>
      </c>
      <c r="H136" s="119"/>
      <c r="I136" s="117"/>
      <c r="J136" s="117"/>
      <c r="K136" s="117"/>
      <c r="L136" s="117"/>
      <c r="M136" s="128"/>
      <c r="N136" s="119" t="str">
        <f>B23</f>
        <v>Retail - Staff canteen dining area</v>
      </c>
      <c r="O136" s="133" t="s">
        <v>515</v>
      </c>
      <c r="P136" s="132">
        <f>IF(F23="Yes",VLOOKUP(B23,'Activity database'!A:BO,3,FALSE)*G23,0)</f>
        <v>0</v>
      </c>
      <c r="Q136" s="117"/>
      <c r="R136" s="128" t="s">
        <v>819</v>
      </c>
      <c r="S136" s="149" t="str">
        <f>'Activity database'!A34</f>
        <v>Retail - Supermarket</v>
      </c>
      <c r="T136" s="147"/>
      <c r="U136" s="147">
        <v>0.06</v>
      </c>
      <c r="V136" s="117"/>
      <c r="W136" s="117"/>
      <c r="X136" s="117"/>
      <c r="Y136" s="117"/>
      <c r="Z136" s="117"/>
      <c r="AA136" s="117"/>
      <c r="AB136" s="117"/>
      <c r="AC136" s="119"/>
      <c r="AD136" s="117"/>
      <c r="AN136" s="120"/>
      <c r="AO136" s="117"/>
    </row>
    <row r="137" spans="1:41" x14ac:dyDescent="0.3">
      <c r="A137" s="87"/>
      <c r="B137" s="87"/>
      <c r="C137" s="87"/>
      <c r="D137" s="150"/>
      <c r="E137" s="151"/>
      <c r="F137" s="87"/>
      <c r="G137" s="88"/>
      <c r="H137" s="119"/>
      <c r="I137" s="117"/>
      <c r="J137" s="117"/>
      <c r="K137" s="117"/>
      <c r="L137" s="117"/>
      <c r="M137" s="87"/>
      <c r="N137" s="130" t="str">
        <f t="shared" si="5"/>
        <v>Retail - Goods-in and storage area</v>
      </c>
      <c r="O137" s="122" t="s">
        <v>515</v>
      </c>
      <c r="P137" s="132">
        <f>IF(F24="Yes",VLOOKUP(B24,'Activity database'!A:BO,3,FALSE)*G24,0)</f>
        <v>0</v>
      </c>
      <c r="Q137" s="117"/>
      <c r="R137" s="117"/>
      <c r="S137" s="140" t="str">
        <f>'Activity database'!A37</f>
        <v>Retail - Service provider</v>
      </c>
      <c r="T137" s="117"/>
      <c r="U137" s="147">
        <v>7.0000000000000007E-2</v>
      </c>
      <c r="V137" s="117"/>
      <c r="W137" s="117"/>
      <c r="X137" s="117"/>
      <c r="Y137" s="117"/>
      <c r="Z137" s="117"/>
      <c r="AA137" s="117"/>
      <c r="AB137" s="117"/>
    </row>
    <row r="138" spans="1:41" x14ac:dyDescent="0.3">
      <c r="A138" s="87"/>
      <c r="B138" s="87"/>
      <c r="C138" s="87"/>
      <c r="D138" s="152"/>
      <c r="E138" s="151"/>
      <c r="F138" s="87"/>
      <c r="G138" s="88"/>
      <c r="H138" s="119"/>
      <c r="I138" s="117"/>
      <c r="J138" s="117"/>
      <c r="K138" s="117"/>
      <c r="L138" s="117"/>
      <c r="M138" s="87"/>
      <c r="N138" s="130" t="str">
        <f t="shared" si="5"/>
        <v>Retail - Workshop</v>
      </c>
      <c r="O138" s="122" t="s">
        <v>515</v>
      </c>
      <c r="P138" s="132">
        <f>IF(F25="Yes",VLOOKUP(B25,'Activity database'!A:BO,3,FALSE)*G25,0)</f>
        <v>0</v>
      </c>
      <c r="Q138" s="154"/>
      <c r="R138" s="117" t="s">
        <v>820</v>
      </c>
      <c r="S138" s="140" t="str">
        <f>'Activity database'!A40</f>
        <v>Retail - Shopping centre/complex</v>
      </c>
      <c r="T138" s="117"/>
      <c r="U138" s="147">
        <v>0.08</v>
      </c>
      <c r="V138" s="117"/>
      <c r="W138" s="117"/>
      <c r="X138" s="117"/>
      <c r="Y138" s="117"/>
      <c r="Z138" s="117"/>
      <c r="AA138" s="117"/>
      <c r="AB138" s="117"/>
    </row>
    <row r="139" spans="1:41" x14ac:dyDescent="0.3">
      <c r="A139" s="87"/>
      <c r="B139" s="87"/>
      <c r="C139" s="87"/>
      <c r="D139" s="152"/>
      <c r="E139" s="151"/>
      <c r="F139" s="87"/>
      <c r="G139" s="88"/>
      <c r="H139" s="119"/>
      <c r="I139" s="117"/>
      <c r="J139" s="117"/>
      <c r="K139" s="117"/>
      <c r="L139" s="117"/>
      <c r="M139" s="87"/>
      <c r="N139" s="119" t="s">
        <v>748</v>
      </c>
      <c r="O139" s="129">
        <f>IF(G14=R132,0,SUM(O132:O138))</f>
        <v>0</v>
      </c>
      <c r="P139" s="129">
        <f>SUM(P132:P138)</f>
        <v>0</v>
      </c>
      <c r="Q139" s="154"/>
      <c r="R139" s="117"/>
      <c r="S139" s="140"/>
      <c r="T139" s="117"/>
      <c r="U139" s="147">
        <v>0.09</v>
      </c>
      <c r="V139" s="117"/>
      <c r="W139" s="117"/>
      <c r="X139" s="117"/>
      <c r="Y139" s="117"/>
      <c r="Z139" s="139"/>
      <c r="AA139" s="117"/>
      <c r="AB139" s="117"/>
    </row>
    <row r="140" spans="1:41" x14ac:dyDescent="0.3">
      <c r="A140" s="87"/>
      <c r="B140" s="87"/>
      <c r="C140" s="87"/>
      <c r="D140" s="152"/>
      <c r="E140" s="151"/>
      <c r="F140" s="87"/>
      <c r="G140" s="88"/>
      <c r="I140" s="117"/>
      <c r="J140" s="117"/>
      <c r="K140" s="117"/>
      <c r="L140" s="117"/>
      <c r="M140" s="87"/>
      <c r="N140" s="130" t="s">
        <v>821</v>
      </c>
      <c r="O140" s="269">
        <f>SUM(O139:P139)</f>
        <v>0</v>
      </c>
      <c r="P140" s="132"/>
      <c r="Q140" s="117"/>
      <c r="R140" s="117"/>
      <c r="S140" s="117"/>
      <c r="T140" s="117"/>
      <c r="U140" s="147">
        <v>0.1</v>
      </c>
      <c r="V140" s="117"/>
      <c r="W140" s="117"/>
      <c r="X140" s="117"/>
      <c r="Y140" s="117"/>
      <c r="Z140" s="117"/>
      <c r="AA140" s="117"/>
      <c r="AB140" s="117"/>
    </row>
    <row r="141" spans="1:41" x14ac:dyDescent="0.3">
      <c r="A141" s="87"/>
      <c r="B141" s="87"/>
      <c r="C141" s="87"/>
      <c r="D141" s="152"/>
      <c r="E141" s="151"/>
      <c r="F141" s="87"/>
      <c r="G141" s="88"/>
      <c r="I141" s="117"/>
      <c r="J141" s="117"/>
      <c r="K141" s="117"/>
      <c r="L141" s="117"/>
      <c r="M141" s="87"/>
      <c r="N141" s="117"/>
      <c r="O141" s="130"/>
      <c r="P141" s="132"/>
      <c r="Q141" s="117"/>
      <c r="R141" s="117"/>
      <c r="S141" s="117"/>
      <c r="T141" s="117"/>
      <c r="U141" s="147">
        <v>0.11</v>
      </c>
      <c r="V141" s="117"/>
      <c r="W141" s="117"/>
      <c r="X141" s="117"/>
      <c r="Y141" s="117"/>
      <c r="Z141" s="117"/>
      <c r="AA141" s="117"/>
      <c r="AB141" s="117"/>
    </row>
    <row r="142" spans="1:41" x14ac:dyDescent="0.3">
      <c r="A142" s="87"/>
      <c r="B142" s="87"/>
      <c r="C142" s="87"/>
      <c r="D142" s="152"/>
      <c r="E142" s="151"/>
      <c r="F142" s="87"/>
      <c r="G142" s="88"/>
      <c r="I142" s="117"/>
      <c r="J142" s="117"/>
      <c r="K142" s="117"/>
      <c r="L142" s="117"/>
      <c r="M142" s="117"/>
      <c r="N142" s="117"/>
      <c r="O142" s="117"/>
      <c r="P142" s="117"/>
      <c r="Q142" s="158"/>
      <c r="R142" s="117"/>
      <c r="S142" s="117"/>
      <c r="T142" s="117"/>
      <c r="U142" s="147">
        <v>0.12</v>
      </c>
      <c r="V142" s="117"/>
      <c r="W142" s="117"/>
      <c r="X142" s="117"/>
      <c r="Y142" s="117"/>
      <c r="Z142" s="117"/>
      <c r="AA142" s="117"/>
      <c r="AB142" s="117"/>
    </row>
    <row r="143" spans="1:41" x14ac:dyDescent="0.3">
      <c r="A143" s="87"/>
      <c r="B143" s="87"/>
      <c r="C143" s="87"/>
      <c r="D143" s="152"/>
      <c r="E143" s="151"/>
      <c r="F143" s="87"/>
      <c r="G143" s="88"/>
      <c r="I143" s="117"/>
      <c r="J143" s="117"/>
      <c r="K143" s="319"/>
      <c r="L143" s="117"/>
      <c r="M143" s="318"/>
      <c r="N143" s="318"/>
      <c r="O143" s="130"/>
      <c r="P143" s="158"/>
      <c r="Q143" s="158"/>
      <c r="R143" s="117"/>
      <c r="S143" s="117"/>
      <c r="T143" s="117"/>
      <c r="U143" s="147">
        <v>0.13</v>
      </c>
      <c r="V143" s="117"/>
      <c r="W143" s="117"/>
      <c r="X143" s="117"/>
      <c r="Y143" s="117"/>
      <c r="Z143" s="117"/>
      <c r="AA143" s="117"/>
      <c r="AB143" s="117"/>
    </row>
    <row r="144" spans="1:41" x14ac:dyDescent="0.3">
      <c r="A144" s="87"/>
      <c r="B144" s="87"/>
      <c r="C144" s="87"/>
      <c r="D144" s="155"/>
      <c r="E144" s="151"/>
      <c r="F144" s="87"/>
      <c r="G144" s="88"/>
      <c r="I144" s="117"/>
      <c r="J144" s="117"/>
      <c r="K144" s="117"/>
      <c r="L144" s="117"/>
      <c r="M144" s="117"/>
      <c r="N144" s="117"/>
      <c r="O144" s="117"/>
      <c r="P144" s="158"/>
      <c r="Q144" s="158"/>
      <c r="R144" s="117"/>
      <c r="S144" s="117"/>
      <c r="T144" s="117"/>
      <c r="U144" s="147">
        <v>0.14000000000000001</v>
      </c>
      <c r="V144" s="117"/>
      <c r="W144" s="117"/>
      <c r="X144" s="117"/>
      <c r="Y144" s="117"/>
      <c r="Z144" s="117"/>
      <c r="AA144" s="117"/>
      <c r="AB144" s="117"/>
    </row>
    <row r="145" spans="1:28" ht="16.5" customHeight="1" x14ac:dyDescent="0.3">
      <c r="A145" s="87"/>
      <c r="B145" s="87"/>
      <c r="C145" s="87"/>
      <c r="D145" s="155"/>
      <c r="E145" s="155"/>
      <c r="F145" s="87"/>
      <c r="G145" s="88"/>
      <c r="I145" s="117"/>
      <c r="J145" s="117"/>
      <c r="K145" s="117"/>
      <c r="L145" s="117"/>
      <c r="M145" s="320"/>
      <c r="N145" s="320"/>
      <c r="O145" s="320"/>
      <c r="P145" s="320"/>
      <c r="Q145" s="320"/>
      <c r="R145" s="117"/>
      <c r="S145" s="117"/>
      <c r="T145" s="117"/>
      <c r="U145" s="147">
        <v>0.15</v>
      </c>
      <c r="V145" s="117"/>
      <c r="W145" s="117"/>
      <c r="X145" s="117"/>
      <c r="Y145" s="117"/>
      <c r="Z145" s="117"/>
      <c r="AA145" s="117"/>
      <c r="AB145" s="117"/>
    </row>
    <row r="146" spans="1:28" x14ac:dyDescent="0.3">
      <c r="A146" s="87"/>
      <c r="B146" s="87"/>
      <c r="C146" s="87"/>
      <c r="D146" s="156"/>
      <c r="E146" s="156"/>
      <c r="F146" s="156"/>
      <c r="G146" s="156"/>
      <c r="I146" s="117"/>
      <c r="J146" s="117"/>
      <c r="K146" s="117"/>
      <c r="L146" s="117"/>
      <c r="M146" s="117"/>
      <c r="N146" s="117"/>
      <c r="O146" s="117"/>
      <c r="P146" s="159"/>
      <c r="Q146" s="159"/>
      <c r="R146" s="117"/>
      <c r="S146" s="117"/>
      <c r="T146" s="117"/>
      <c r="U146" s="147">
        <v>0.16</v>
      </c>
      <c r="V146" s="117"/>
      <c r="W146" s="117"/>
      <c r="X146" s="117"/>
      <c r="Y146" s="117"/>
      <c r="Z146" s="117"/>
      <c r="AA146" s="117"/>
      <c r="AB146" s="117"/>
    </row>
    <row r="147" spans="1:28" x14ac:dyDescent="0.3">
      <c r="A147" s="87"/>
      <c r="B147" s="87"/>
      <c r="C147" s="87"/>
      <c r="D147" s="157"/>
      <c r="E147" s="157"/>
      <c r="F147" s="157"/>
      <c r="G147" s="157"/>
      <c r="I147" s="117"/>
      <c r="J147" s="117"/>
      <c r="K147" s="117"/>
      <c r="L147" s="117"/>
      <c r="M147" s="117"/>
      <c r="N147" s="117"/>
      <c r="O147" s="117"/>
      <c r="P147" s="159"/>
      <c r="Q147" s="159"/>
      <c r="R147" s="117"/>
      <c r="S147" s="117"/>
      <c r="T147" s="117"/>
      <c r="U147" s="147">
        <v>0.17</v>
      </c>
      <c r="V147" s="117"/>
      <c r="W147" s="117"/>
      <c r="X147" s="117"/>
      <c r="Y147" s="117"/>
      <c r="Z147" s="117"/>
      <c r="AA147" s="117"/>
      <c r="AB147" s="117"/>
    </row>
    <row r="148" spans="1:28" x14ac:dyDescent="0.3">
      <c r="A148" s="87"/>
      <c r="B148" s="87"/>
      <c r="C148" s="156"/>
      <c r="D148" s="156"/>
      <c r="E148" s="156"/>
      <c r="F148" s="156"/>
      <c r="G148" s="156"/>
      <c r="I148" s="117"/>
      <c r="J148" s="117"/>
      <c r="K148" s="117"/>
      <c r="L148" s="117"/>
      <c r="M148" s="117"/>
      <c r="N148" s="117"/>
      <c r="O148" s="117"/>
      <c r="P148" s="159"/>
      <c r="Q148" s="159"/>
      <c r="R148" s="117"/>
      <c r="S148" s="117"/>
      <c r="T148" s="117"/>
      <c r="U148" s="147">
        <v>0.18</v>
      </c>
      <c r="V148" s="117"/>
      <c r="W148" s="117"/>
      <c r="X148" s="117"/>
      <c r="Y148" s="117"/>
      <c r="Z148" s="117"/>
      <c r="AA148" s="117"/>
      <c r="AB148" s="117"/>
    </row>
    <row r="149" spans="1:28" x14ac:dyDescent="0.3">
      <c r="A149" s="87"/>
      <c r="B149" s="87"/>
      <c r="C149" s="156"/>
      <c r="D149" s="156"/>
      <c r="E149" s="156"/>
      <c r="F149" s="156"/>
      <c r="G149" s="156"/>
      <c r="I149" s="117"/>
      <c r="J149" s="117"/>
      <c r="K149" s="117"/>
      <c r="L149" s="117"/>
      <c r="M149" s="117"/>
      <c r="N149" s="117"/>
      <c r="O149" s="117"/>
      <c r="P149" s="159"/>
      <c r="Q149" s="159"/>
      <c r="R149" s="117"/>
      <c r="S149" s="117"/>
      <c r="T149" s="117"/>
      <c r="U149" s="147">
        <v>0.19</v>
      </c>
      <c r="V149" s="117"/>
      <c r="W149" s="117"/>
      <c r="X149" s="117"/>
      <c r="Y149" s="117"/>
      <c r="Z149" s="117"/>
      <c r="AA149" s="117"/>
      <c r="AB149" s="117"/>
    </row>
    <row r="150" spans="1:28" x14ac:dyDescent="0.3">
      <c r="A150" s="87"/>
      <c r="B150" s="87"/>
      <c r="C150" s="157"/>
      <c r="D150" s="157"/>
      <c r="E150" s="157"/>
      <c r="F150" s="157"/>
      <c r="G150" s="157"/>
      <c r="I150" s="117"/>
      <c r="J150" s="117"/>
      <c r="K150" s="117"/>
      <c r="L150" s="117"/>
      <c r="M150" s="117"/>
      <c r="N150" s="117"/>
      <c r="O150" s="117"/>
      <c r="P150" s="159"/>
      <c r="Q150" s="159"/>
      <c r="R150" s="117"/>
      <c r="S150" s="117"/>
      <c r="T150" s="117"/>
      <c r="U150" s="147">
        <v>0.2</v>
      </c>
      <c r="V150" s="117"/>
      <c r="W150" s="117"/>
      <c r="X150" s="117"/>
      <c r="Y150" s="117"/>
      <c r="Z150" s="117"/>
      <c r="AA150" s="117"/>
      <c r="AB150" s="117"/>
    </row>
    <row r="151" spans="1:28" x14ac:dyDescent="0.3">
      <c r="A151" s="87"/>
      <c r="B151" s="87"/>
      <c r="C151" s="87"/>
      <c r="D151" s="87"/>
      <c r="E151" s="87"/>
      <c r="F151" s="87"/>
      <c r="G151" s="88"/>
      <c r="I151" s="117"/>
      <c r="J151" s="117"/>
      <c r="K151" s="117"/>
      <c r="L151" s="117"/>
      <c r="M151" s="117"/>
      <c r="N151" s="117"/>
      <c r="O151" s="117"/>
      <c r="P151" s="159"/>
      <c r="Q151" s="159"/>
      <c r="R151" s="117"/>
      <c r="S151" s="117"/>
      <c r="T151" s="117"/>
      <c r="U151" s="147">
        <v>0.21</v>
      </c>
      <c r="V151" s="117"/>
      <c r="W151" s="117"/>
      <c r="X151" s="117"/>
      <c r="Y151" s="117"/>
      <c r="Z151" s="117"/>
      <c r="AA151" s="117"/>
      <c r="AB151" s="117"/>
    </row>
    <row r="152" spans="1:28" x14ac:dyDescent="0.3">
      <c r="A152" s="87"/>
      <c r="B152" s="87"/>
      <c r="C152" s="87"/>
      <c r="D152" s="87"/>
      <c r="E152" s="87"/>
      <c r="F152" s="87"/>
      <c r="G152" s="88"/>
      <c r="I152" s="117"/>
      <c r="J152" s="117"/>
      <c r="K152" s="117"/>
      <c r="L152" s="117"/>
      <c r="M152" s="117"/>
      <c r="N152" s="117"/>
      <c r="O152" s="117" t="s">
        <v>822</v>
      </c>
      <c r="P152" s="159"/>
      <c r="Q152" s="159"/>
      <c r="R152" s="117"/>
      <c r="S152" s="117"/>
      <c r="T152" s="117"/>
      <c r="U152" s="147">
        <v>0.22</v>
      </c>
      <c r="V152" s="117"/>
      <c r="W152" s="117"/>
      <c r="X152" s="117"/>
      <c r="Y152" s="117"/>
      <c r="Z152" s="117"/>
      <c r="AA152" s="117"/>
      <c r="AB152" s="117"/>
    </row>
    <row r="153" spans="1:28" x14ac:dyDescent="0.3">
      <c r="A153" s="87"/>
      <c r="B153" s="87"/>
      <c r="C153" s="87"/>
      <c r="D153" s="87"/>
      <c r="E153" s="87"/>
      <c r="F153" s="87"/>
      <c r="G153" s="88"/>
      <c r="I153" s="117"/>
      <c r="J153" s="117"/>
      <c r="K153" s="117"/>
      <c r="L153" s="117"/>
      <c r="M153" s="117"/>
      <c r="N153" s="117"/>
      <c r="O153" s="117" t="s">
        <v>823</v>
      </c>
      <c r="P153" s="158"/>
      <c r="Q153" s="158"/>
      <c r="R153" s="117"/>
      <c r="S153" s="117"/>
      <c r="T153" s="117"/>
      <c r="U153" s="147">
        <v>0.23</v>
      </c>
      <c r="V153" s="117"/>
      <c r="W153" s="117"/>
      <c r="X153" s="117"/>
      <c r="Y153" s="117"/>
      <c r="Z153" s="117"/>
      <c r="AA153" s="117"/>
      <c r="AB153" s="117"/>
    </row>
    <row r="154" spans="1:28" x14ac:dyDescent="0.3">
      <c r="A154" s="87"/>
      <c r="B154" s="87"/>
      <c r="C154" s="87"/>
      <c r="D154" s="157"/>
      <c r="E154" s="157"/>
      <c r="F154" s="157"/>
      <c r="G154" s="157"/>
      <c r="H154" s="127"/>
      <c r="I154" s="117"/>
      <c r="J154" s="117"/>
      <c r="K154" s="117"/>
      <c r="L154" s="117"/>
      <c r="M154" s="117"/>
      <c r="N154" s="117"/>
      <c r="O154" s="117" t="s">
        <v>824</v>
      </c>
      <c r="P154" s="158"/>
      <c r="Q154" s="158"/>
      <c r="R154" s="117"/>
      <c r="S154" s="117"/>
      <c r="T154" s="117"/>
      <c r="U154" s="147">
        <v>0.24</v>
      </c>
      <c r="V154" s="117"/>
      <c r="W154" s="117"/>
      <c r="X154" s="117"/>
      <c r="Y154" s="117"/>
      <c r="Z154" s="117"/>
      <c r="AA154" s="117"/>
      <c r="AB154" s="117"/>
    </row>
    <row r="155" spans="1:28" x14ac:dyDescent="0.3">
      <c r="A155" s="87"/>
      <c r="B155" s="87"/>
      <c r="C155" s="87"/>
      <c r="D155" s="87"/>
      <c r="E155" s="87"/>
      <c r="F155" s="87"/>
      <c r="G155" s="88"/>
      <c r="I155" s="117"/>
      <c r="J155" s="117"/>
      <c r="K155" s="117"/>
      <c r="L155" s="117"/>
      <c r="M155" s="117"/>
      <c r="N155" s="117"/>
      <c r="O155" s="117" t="s">
        <v>825</v>
      </c>
      <c r="P155" s="158"/>
      <c r="Q155" s="158"/>
      <c r="R155" s="117"/>
      <c r="S155" s="117"/>
      <c r="T155" s="117"/>
      <c r="U155" s="147">
        <v>0.25</v>
      </c>
      <c r="V155" s="117"/>
      <c r="W155" s="117"/>
      <c r="X155" s="117"/>
      <c r="Y155" s="117"/>
      <c r="Z155" s="117"/>
      <c r="AA155" s="117"/>
      <c r="AB155" s="117"/>
    </row>
    <row r="156" spans="1:28" x14ac:dyDescent="0.3">
      <c r="A156" s="87"/>
      <c r="B156" s="87"/>
      <c r="C156" s="87"/>
      <c r="D156" s="87"/>
      <c r="E156" s="87"/>
      <c r="F156" s="87"/>
      <c r="G156" s="88"/>
      <c r="I156" s="117"/>
      <c r="J156" s="117"/>
      <c r="K156" s="117"/>
      <c r="L156" s="117"/>
      <c r="M156" s="117"/>
      <c r="N156" s="117"/>
      <c r="O156" s="117" t="s">
        <v>836</v>
      </c>
      <c r="P156" s="159"/>
      <c r="Q156" s="159"/>
      <c r="R156" s="117"/>
      <c r="S156" s="117"/>
      <c r="T156" s="117"/>
      <c r="U156" s="147">
        <v>0.26</v>
      </c>
      <c r="V156" s="117"/>
      <c r="W156" s="117"/>
      <c r="X156" s="117"/>
      <c r="Y156" s="117"/>
      <c r="Z156" s="117"/>
      <c r="AA156" s="117"/>
      <c r="AB156" s="117"/>
    </row>
    <row r="157" spans="1:28" x14ac:dyDescent="0.3">
      <c r="A157" s="87"/>
      <c r="B157" s="87"/>
      <c r="C157" s="87"/>
      <c r="D157" s="87"/>
      <c r="E157" s="87"/>
      <c r="F157" s="87"/>
      <c r="G157" s="88"/>
      <c r="I157" s="117"/>
      <c r="J157" s="117"/>
      <c r="K157" s="117"/>
      <c r="L157" s="117"/>
      <c r="M157" s="117"/>
      <c r="N157" s="117"/>
      <c r="O157" s="117" t="s">
        <v>837</v>
      </c>
      <c r="P157" s="158"/>
      <c r="Q157" s="158"/>
      <c r="R157" s="117"/>
      <c r="S157" s="117"/>
      <c r="T157" s="117"/>
      <c r="U157" s="147">
        <v>0.27</v>
      </c>
      <c r="V157" s="117"/>
      <c r="W157" s="117"/>
      <c r="X157" s="117"/>
      <c r="Y157" s="117"/>
      <c r="Z157" s="117"/>
      <c r="AA157" s="117"/>
      <c r="AB157" s="117"/>
    </row>
    <row r="158" spans="1:28" x14ac:dyDescent="0.3">
      <c r="A158" s="87"/>
      <c r="B158" s="87"/>
      <c r="C158" s="87"/>
      <c r="D158" s="87"/>
      <c r="E158" s="87"/>
      <c r="F158" s="87"/>
      <c r="G158" s="88"/>
      <c r="I158" s="117"/>
      <c r="J158" s="117"/>
      <c r="K158" s="117"/>
      <c r="L158" s="117"/>
      <c r="M158" s="117"/>
      <c r="N158" s="117"/>
      <c r="O158" s="117" t="s">
        <v>838</v>
      </c>
      <c r="P158" s="159"/>
      <c r="Q158" s="159"/>
      <c r="R158" s="117"/>
      <c r="S158" s="117"/>
      <c r="T158" s="117"/>
      <c r="U158" s="147">
        <v>0.28000000000000003</v>
      </c>
      <c r="V158" s="117"/>
      <c r="W158" s="117"/>
      <c r="X158" s="117"/>
      <c r="Y158" s="117"/>
      <c r="Z158" s="117"/>
      <c r="AA158" s="117"/>
      <c r="AB158" s="117"/>
    </row>
    <row r="159" spans="1:28" x14ac:dyDescent="0.3">
      <c r="A159" s="87"/>
      <c r="B159" s="87"/>
      <c r="C159" s="87"/>
      <c r="D159" s="87"/>
      <c r="E159" s="87"/>
      <c r="F159" s="87"/>
      <c r="G159" s="88"/>
      <c r="I159" s="117"/>
      <c r="J159" s="117"/>
      <c r="K159" s="117"/>
      <c r="L159" s="117"/>
      <c r="M159" s="117"/>
      <c r="N159" s="117"/>
      <c r="O159" s="117"/>
      <c r="P159" s="159"/>
      <c r="Q159" s="159"/>
      <c r="R159" s="117"/>
      <c r="S159" s="117"/>
      <c r="T159" s="117"/>
      <c r="U159" s="147">
        <v>0.28999999999999998</v>
      </c>
      <c r="V159" s="117"/>
      <c r="W159" s="117"/>
      <c r="X159" s="117"/>
      <c r="Y159" s="117"/>
      <c r="Z159" s="117"/>
      <c r="AA159" s="117"/>
      <c r="AB159" s="117"/>
    </row>
    <row r="160" spans="1:28" x14ac:dyDescent="0.3">
      <c r="A160" s="87"/>
      <c r="B160" s="87"/>
      <c r="C160" s="87"/>
      <c r="D160" s="87"/>
      <c r="E160" s="87"/>
      <c r="F160" s="87"/>
      <c r="G160" s="88"/>
      <c r="I160" s="117"/>
      <c r="J160" s="117"/>
      <c r="K160" s="117"/>
      <c r="L160" s="117"/>
      <c r="M160" s="117"/>
      <c r="N160" s="117"/>
      <c r="O160" s="117"/>
      <c r="P160" s="158"/>
      <c r="Q160" s="158"/>
      <c r="R160" s="117"/>
      <c r="S160" s="117"/>
      <c r="T160" s="117"/>
      <c r="U160" s="147">
        <v>0.3</v>
      </c>
      <c r="V160" s="117"/>
      <c r="W160" s="117"/>
      <c r="X160" s="117"/>
      <c r="Y160" s="117"/>
      <c r="Z160" s="117"/>
      <c r="AA160" s="117"/>
      <c r="AB160" s="117"/>
    </row>
    <row r="161" spans="1:28" x14ac:dyDescent="0.3">
      <c r="A161" s="87"/>
      <c r="B161" s="87"/>
      <c r="C161" s="87"/>
      <c r="D161" s="87"/>
      <c r="E161" s="87"/>
      <c r="F161" s="87"/>
      <c r="G161" s="88"/>
      <c r="I161" s="117"/>
      <c r="J161" s="117"/>
      <c r="K161" s="117"/>
      <c r="L161" s="117"/>
      <c r="M161" s="117"/>
      <c r="N161" s="117"/>
      <c r="O161" s="117"/>
      <c r="P161" s="159"/>
      <c r="Q161" s="159"/>
      <c r="R161" s="117"/>
      <c r="S161" s="117"/>
      <c r="T161" s="117"/>
      <c r="U161" s="147">
        <v>0.31</v>
      </c>
      <c r="V161" s="117"/>
      <c r="W161" s="117"/>
      <c r="X161" s="117"/>
      <c r="Y161" s="117"/>
      <c r="Z161" s="117"/>
      <c r="AA161" s="117"/>
      <c r="AB161" s="117"/>
    </row>
    <row r="162" spans="1:28" x14ac:dyDescent="0.3">
      <c r="A162" s="87"/>
      <c r="B162" s="87"/>
      <c r="C162" s="87"/>
      <c r="D162" s="87"/>
      <c r="E162" s="87"/>
      <c r="F162" s="87"/>
      <c r="G162" s="88"/>
      <c r="I162" s="117"/>
      <c r="J162" s="117"/>
      <c r="K162" s="117"/>
      <c r="L162" s="117"/>
      <c r="M162" s="117"/>
      <c r="N162" s="117"/>
      <c r="O162" s="117"/>
      <c r="P162" s="159"/>
      <c r="Q162" s="159"/>
      <c r="R162" s="117"/>
      <c r="S162" s="117"/>
      <c r="T162" s="117"/>
      <c r="U162" s="147">
        <v>0.32</v>
      </c>
      <c r="V162" s="117"/>
      <c r="W162" s="117"/>
      <c r="X162" s="117"/>
      <c r="Y162" s="117"/>
      <c r="Z162" s="117"/>
      <c r="AA162" s="117"/>
      <c r="AB162" s="117"/>
    </row>
    <row r="163" spans="1:28" x14ac:dyDescent="0.3">
      <c r="A163" s="87"/>
      <c r="B163" s="87"/>
      <c r="C163" s="87"/>
      <c r="D163" s="87"/>
      <c r="E163" s="87"/>
      <c r="F163" s="87"/>
      <c r="G163" s="88"/>
      <c r="I163" s="117"/>
      <c r="J163" s="117"/>
      <c r="K163" s="117"/>
      <c r="L163" s="117"/>
      <c r="M163" s="117"/>
      <c r="N163" s="117"/>
      <c r="O163" s="119"/>
      <c r="P163" s="159"/>
      <c r="Q163" s="159"/>
      <c r="R163" s="117"/>
      <c r="S163" s="117"/>
      <c r="T163" s="117"/>
      <c r="U163" s="147">
        <v>0.33</v>
      </c>
      <c r="V163" s="117"/>
      <c r="W163" s="117"/>
      <c r="X163" s="117"/>
      <c r="Y163" s="117"/>
      <c r="Z163" s="117"/>
      <c r="AA163" s="117"/>
      <c r="AB163" s="117"/>
    </row>
    <row r="164" spans="1:28" x14ac:dyDescent="0.3">
      <c r="A164" s="87"/>
      <c r="B164" s="87"/>
      <c r="C164" s="87"/>
      <c r="D164" s="87"/>
      <c r="E164" s="87"/>
      <c r="F164" s="87"/>
      <c r="G164" s="88"/>
      <c r="I164" s="117"/>
      <c r="J164" s="117"/>
      <c r="K164" s="117"/>
      <c r="L164" s="117"/>
      <c r="M164" s="117"/>
      <c r="N164" s="117"/>
      <c r="O164" s="117"/>
      <c r="P164" s="159"/>
      <c r="Q164" s="159"/>
      <c r="R164" s="117"/>
      <c r="S164" s="117"/>
      <c r="T164" s="117"/>
      <c r="U164" s="147">
        <v>0.34</v>
      </c>
      <c r="V164" s="117"/>
      <c r="W164" s="117"/>
      <c r="X164" s="117"/>
      <c r="Y164" s="117"/>
      <c r="Z164" s="117"/>
      <c r="AA164" s="117"/>
      <c r="AB164" s="117"/>
    </row>
    <row r="165" spans="1:28" x14ac:dyDescent="0.3">
      <c r="A165" s="87"/>
      <c r="B165" s="87"/>
      <c r="C165" s="87"/>
      <c r="D165" s="87"/>
      <c r="E165" s="87"/>
      <c r="F165" s="87"/>
      <c r="G165" s="88"/>
      <c r="I165" s="117"/>
      <c r="J165" s="117"/>
      <c r="K165" s="117"/>
      <c r="L165" s="117"/>
      <c r="M165" s="117"/>
      <c r="N165" s="117"/>
      <c r="O165" s="117"/>
      <c r="P165" s="158"/>
      <c r="Q165" s="158"/>
      <c r="R165" s="117"/>
      <c r="S165" s="117"/>
      <c r="T165" s="117"/>
      <c r="U165" s="147">
        <v>0.35</v>
      </c>
      <c r="V165" s="117"/>
      <c r="W165" s="117"/>
      <c r="X165" s="117"/>
      <c r="Y165" s="117"/>
      <c r="Z165" s="117"/>
      <c r="AA165" s="117"/>
      <c r="AB165" s="117"/>
    </row>
    <row r="166" spans="1:28" x14ac:dyDescent="0.3">
      <c r="A166" s="87"/>
      <c r="B166" s="87"/>
      <c r="C166" s="87"/>
      <c r="D166" s="87"/>
      <c r="E166" s="87"/>
      <c r="F166" s="87"/>
      <c r="G166" s="88"/>
      <c r="I166" s="117"/>
      <c r="J166" s="117"/>
      <c r="K166" s="117"/>
      <c r="L166" s="117"/>
      <c r="M166" s="117"/>
      <c r="N166" s="117"/>
      <c r="O166" s="117"/>
      <c r="P166" s="159"/>
      <c r="Q166" s="159"/>
      <c r="R166" s="117"/>
      <c r="S166" s="117"/>
      <c r="T166" s="117"/>
      <c r="U166" s="147">
        <v>0.36</v>
      </c>
      <c r="V166" s="117"/>
      <c r="W166" s="117"/>
      <c r="X166" s="117"/>
      <c r="Y166" s="117"/>
      <c r="Z166" s="117"/>
      <c r="AA166" s="117"/>
      <c r="AB166" s="117"/>
    </row>
    <row r="167" spans="1:28" x14ac:dyDescent="0.3">
      <c r="A167" s="87"/>
      <c r="B167" s="87"/>
      <c r="C167" s="87"/>
      <c r="D167" s="87"/>
      <c r="E167" s="87"/>
      <c r="F167" s="87"/>
      <c r="G167" s="88"/>
      <c r="I167" s="117"/>
      <c r="J167" s="117"/>
      <c r="K167" s="117"/>
      <c r="L167" s="117"/>
      <c r="M167" s="117"/>
      <c r="N167" s="117"/>
      <c r="O167" s="117"/>
      <c r="P167" s="159"/>
      <c r="Q167" s="159"/>
      <c r="R167" s="117"/>
      <c r="S167" s="117"/>
      <c r="T167" s="117"/>
      <c r="U167" s="147">
        <v>0.37</v>
      </c>
      <c r="V167" s="117"/>
      <c r="W167" s="117"/>
      <c r="X167" s="117"/>
      <c r="Y167" s="117"/>
      <c r="Z167" s="117"/>
      <c r="AA167" s="117"/>
      <c r="AB167" s="117"/>
    </row>
    <row r="168" spans="1:28" x14ac:dyDescent="0.3">
      <c r="A168" s="87"/>
      <c r="B168" s="87"/>
      <c r="C168" s="87"/>
      <c r="D168" s="87"/>
      <c r="E168" s="87"/>
      <c r="F168" s="87"/>
      <c r="G168" s="88"/>
      <c r="I168" s="117"/>
      <c r="J168" s="117"/>
      <c r="K168" s="117"/>
      <c r="L168" s="117"/>
      <c r="M168" s="117"/>
      <c r="N168" s="117"/>
      <c r="O168" s="117"/>
      <c r="P168" s="159"/>
      <c r="Q168" s="159"/>
      <c r="R168" s="117"/>
      <c r="S168" s="117"/>
      <c r="T168" s="117"/>
      <c r="U168" s="147">
        <v>0.38</v>
      </c>
      <c r="V168" s="117"/>
      <c r="W168" s="117"/>
      <c r="X168" s="117"/>
      <c r="Y168" s="117"/>
      <c r="Z168" s="117"/>
      <c r="AA168" s="117"/>
      <c r="AB168" s="117"/>
    </row>
    <row r="169" spans="1:28" x14ac:dyDescent="0.3">
      <c r="A169" s="87"/>
      <c r="B169" s="87"/>
      <c r="C169" s="87"/>
      <c r="D169" s="87"/>
      <c r="E169" s="87"/>
      <c r="F169" s="87"/>
      <c r="G169" s="88"/>
      <c r="I169" s="117"/>
      <c r="J169" s="117"/>
      <c r="K169" s="117"/>
      <c r="L169" s="117"/>
      <c r="M169" s="117"/>
      <c r="N169" s="117"/>
      <c r="O169" s="117"/>
      <c r="P169" s="159"/>
      <c r="Q169" s="159"/>
      <c r="R169" s="117"/>
      <c r="S169" s="117"/>
      <c r="T169" s="117"/>
      <c r="U169" s="147">
        <v>0.39</v>
      </c>
      <c r="V169" s="117"/>
      <c r="W169" s="117"/>
      <c r="X169" s="117"/>
      <c r="Y169" s="117"/>
      <c r="Z169" s="117"/>
      <c r="AA169" s="117"/>
      <c r="AB169" s="117"/>
    </row>
    <row r="170" spans="1:28" x14ac:dyDescent="0.3">
      <c r="A170" s="87"/>
      <c r="B170" s="87"/>
      <c r="C170" s="87"/>
      <c r="D170" s="87"/>
      <c r="E170" s="87"/>
      <c r="F170" s="87"/>
      <c r="G170" s="88"/>
      <c r="I170" s="117"/>
      <c r="J170" s="117"/>
      <c r="K170" s="117"/>
      <c r="L170" s="117"/>
      <c r="M170" s="117"/>
      <c r="N170" s="117"/>
      <c r="O170" s="117"/>
      <c r="P170" s="159"/>
      <c r="Q170" s="159"/>
      <c r="R170" s="117"/>
      <c r="S170" s="117"/>
      <c r="T170" s="117"/>
      <c r="U170" s="147">
        <v>0.4</v>
      </c>
      <c r="V170" s="117"/>
      <c r="W170" s="117"/>
      <c r="X170" s="117"/>
      <c r="Y170" s="117"/>
      <c r="Z170" s="117"/>
      <c r="AA170" s="117"/>
      <c r="AB170" s="117"/>
    </row>
    <row r="171" spans="1:28" x14ac:dyDescent="0.3">
      <c r="A171" s="87"/>
      <c r="B171" s="87"/>
      <c r="C171" s="87"/>
      <c r="D171" s="87"/>
      <c r="E171" s="87"/>
      <c r="F171" s="87"/>
      <c r="G171" s="88"/>
      <c r="I171" s="117"/>
      <c r="J171" s="117"/>
      <c r="K171" s="117"/>
      <c r="L171" s="117"/>
      <c r="M171" s="117"/>
      <c r="N171" s="117"/>
      <c r="O171" s="117"/>
      <c r="P171" s="159"/>
      <c r="Q171" s="159"/>
      <c r="R171" s="117"/>
      <c r="S171" s="117"/>
      <c r="T171" s="117"/>
      <c r="U171" s="147">
        <v>0.41</v>
      </c>
      <c r="V171" s="117"/>
      <c r="W171" s="117"/>
      <c r="X171" s="117"/>
      <c r="Y171" s="117"/>
      <c r="Z171" s="117"/>
      <c r="AA171" s="117"/>
      <c r="AB171" s="117"/>
    </row>
    <row r="172" spans="1:28" x14ac:dyDescent="0.3">
      <c r="A172" s="87"/>
      <c r="B172" s="87"/>
      <c r="C172" s="87"/>
      <c r="D172" s="87"/>
      <c r="E172" s="87"/>
      <c r="F172" s="87"/>
      <c r="G172" s="88"/>
      <c r="I172" s="117"/>
      <c r="J172" s="117"/>
      <c r="K172" s="117"/>
      <c r="L172" s="117"/>
      <c r="M172" s="117"/>
      <c r="N172" s="117"/>
      <c r="O172" s="117"/>
      <c r="P172" s="159"/>
      <c r="Q172" s="159"/>
      <c r="R172" s="117"/>
      <c r="S172" s="117"/>
      <c r="T172" s="117"/>
      <c r="U172" s="147">
        <v>0.42</v>
      </c>
      <c r="V172" s="117"/>
      <c r="W172" s="117"/>
      <c r="X172" s="117"/>
      <c r="Y172" s="117"/>
      <c r="Z172" s="117"/>
      <c r="AA172" s="117"/>
      <c r="AB172" s="117"/>
    </row>
    <row r="173" spans="1:28" x14ac:dyDescent="0.3">
      <c r="A173" s="87"/>
      <c r="B173" s="87"/>
      <c r="C173" s="87"/>
      <c r="D173" s="87"/>
      <c r="E173" s="87"/>
      <c r="F173" s="87"/>
      <c r="G173" s="88"/>
      <c r="I173" s="117"/>
      <c r="J173" s="117"/>
      <c r="K173" s="117"/>
      <c r="L173" s="117"/>
      <c r="M173" s="117"/>
      <c r="N173" s="117"/>
      <c r="O173" s="117"/>
      <c r="P173" s="159"/>
      <c r="Q173" s="159"/>
      <c r="R173" s="117"/>
      <c r="S173" s="117"/>
      <c r="T173" s="117"/>
      <c r="U173" s="147">
        <v>0.43</v>
      </c>
      <c r="V173" s="117"/>
      <c r="W173" s="117"/>
      <c r="X173" s="117"/>
      <c r="Y173" s="117"/>
      <c r="Z173" s="117"/>
      <c r="AA173" s="117"/>
      <c r="AB173" s="117"/>
    </row>
    <row r="174" spans="1:28" x14ac:dyDescent="0.3">
      <c r="A174" s="87"/>
      <c r="B174" s="87"/>
      <c r="C174" s="87"/>
      <c r="D174" s="87"/>
      <c r="E174" s="87"/>
      <c r="F174" s="87"/>
      <c r="G174" s="88"/>
      <c r="I174" s="117"/>
      <c r="J174" s="117"/>
      <c r="K174" s="117"/>
      <c r="L174" s="117"/>
      <c r="M174" s="117"/>
      <c r="N174" s="117"/>
      <c r="O174" s="117"/>
      <c r="P174" s="159"/>
      <c r="Q174" s="159"/>
      <c r="R174" s="117"/>
      <c r="S174" s="117"/>
      <c r="T174" s="117"/>
      <c r="U174" s="147">
        <v>0.44</v>
      </c>
      <c r="V174" s="117"/>
      <c r="W174" s="117"/>
      <c r="X174" s="117"/>
      <c r="Y174" s="117"/>
      <c r="Z174" s="117"/>
      <c r="AA174" s="117"/>
      <c r="AB174" s="117"/>
    </row>
    <row r="175" spans="1:28" x14ac:dyDescent="0.3">
      <c r="A175" s="87"/>
      <c r="B175" s="87"/>
      <c r="C175" s="87"/>
      <c r="D175" s="87"/>
      <c r="E175" s="87"/>
      <c r="F175" s="87"/>
      <c r="G175" s="88"/>
      <c r="I175" s="117"/>
      <c r="J175" s="117"/>
      <c r="K175" s="117"/>
      <c r="L175" s="117"/>
      <c r="M175" s="117"/>
      <c r="N175" s="117"/>
      <c r="O175" s="117"/>
      <c r="P175" s="159"/>
      <c r="Q175" s="159"/>
      <c r="R175" s="117"/>
      <c r="S175" s="117"/>
      <c r="T175" s="117"/>
      <c r="U175" s="147">
        <v>0.45</v>
      </c>
      <c r="V175" s="117"/>
      <c r="W175" s="117"/>
      <c r="X175" s="117"/>
      <c r="Y175" s="117"/>
      <c r="Z175" s="117"/>
      <c r="AA175" s="117"/>
      <c r="AB175" s="117"/>
    </row>
    <row r="176" spans="1:28" x14ac:dyDescent="0.3">
      <c r="A176" s="87"/>
      <c r="B176" s="87"/>
      <c r="C176" s="87"/>
      <c r="D176" s="87"/>
      <c r="E176" s="87"/>
      <c r="F176" s="87"/>
      <c r="G176" s="88"/>
      <c r="I176" s="117"/>
      <c r="J176" s="117"/>
      <c r="K176" s="117"/>
      <c r="L176" s="117"/>
      <c r="M176" s="117"/>
      <c r="N176" s="117"/>
      <c r="O176" s="117"/>
      <c r="P176" s="159"/>
      <c r="Q176" s="159"/>
      <c r="R176" s="117"/>
      <c r="S176" s="117"/>
      <c r="T176" s="117"/>
      <c r="U176" s="147">
        <v>0.46</v>
      </c>
      <c r="V176" s="117"/>
      <c r="W176" s="117"/>
      <c r="X176" s="117"/>
      <c r="Y176" s="117"/>
      <c r="Z176" s="117"/>
      <c r="AA176" s="117"/>
      <c r="AB176" s="117"/>
    </row>
    <row r="177" spans="1:28" x14ac:dyDescent="0.3">
      <c r="A177" s="87"/>
      <c r="B177" s="87"/>
      <c r="C177" s="87"/>
      <c r="D177" s="87"/>
      <c r="E177" s="87"/>
      <c r="F177" s="87"/>
      <c r="G177" s="88"/>
      <c r="I177" s="117"/>
      <c r="J177" s="117"/>
      <c r="K177" s="117"/>
      <c r="L177" s="117"/>
      <c r="M177" s="117"/>
      <c r="N177" s="117"/>
      <c r="O177" s="117"/>
      <c r="P177" s="159"/>
      <c r="Q177" s="159"/>
      <c r="R177" s="117"/>
      <c r="S177" s="117"/>
      <c r="T177" s="117"/>
      <c r="U177" s="147">
        <v>0.47</v>
      </c>
      <c r="V177" s="117"/>
      <c r="W177" s="117"/>
      <c r="X177" s="117"/>
      <c r="Y177" s="117"/>
      <c r="Z177" s="117"/>
      <c r="AA177" s="117"/>
      <c r="AB177" s="117"/>
    </row>
    <row r="178" spans="1:28" x14ac:dyDescent="0.3">
      <c r="A178" s="87"/>
      <c r="B178" s="87"/>
      <c r="C178" s="87"/>
      <c r="D178" s="87"/>
      <c r="E178" s="87"/>
      <c r="F178" s="87"/>
      <c r="G178" s="88"/>
      <c r="I178" s="117"/>
      <c r="J178" s="117"/>
      <c r="K178" s="117"/>
      <c r="L178" s="117"/>
      <c r="M178" s="117"/>
      <c r="N178" s="117"/>
      <c r="O178" s="117"/>
      <c r="P178" s="159"/>
      <c r="Q178" s="159"/>
      <c r="R178" s="117"/>
      <c r="S178" s="117"/>
      <c r="T178" s="117"/>
      <c r="U178" s="147">
        <v>0.48</v>
      </c>
      <c r="V178" s="117"/>
      <c r="W178" s="117"/>
      <c r="X178" s="117"/>
      <c r="Y178" s="117"/>
      <c r="Z178" s="117"/>
      <c r="AA178" s="117"/>
      <c r="AB178" s="117"/>
    </row>
    <row r="179" spans="1:28" x14ac:dyDescent="0.3">
      <c r="A179" s="87"/>
      <c r="B179" s="87"/>
      <c r="C179" s="87"/>
      <c r="D179" s="87"/>
      <c r="E179" s="87"/>
      <c r="F179" s="87"/>
      <c r="G179" s="88"/>
      <c r="I179" s="117"/>
      <c r="J179" s="117"/>
      <c r="K179" s="117"/>
      <c r="L179" s="117"/>
      <c r="M179" s="117"/>
      <c r="N179" s="117"/>
      <c r="O179" s="117"/>
      <c r="P179" s="159"/>
      <c r="Q179" s="159"/>
      <c r="R179" s="117"/>
      <c r="S179" s="117"/>
      <c r="T179" s="117"/>
      <c r="U179" s="147">
        <v>0.49</v>
      </c>
      <c r="V179" s="117"/>
      <c r="W179" s="117"/>
      <c r="X179" s="117"/>
      <c r="Y179" s="117"/>
      <c r="Z179" s="117"/>
      <c r="AA179" s="117"/>
      <c r="AB179" s="117"/>
    </row>
    <row r="180" spans="1:28" x14ac:dyDescent="0.3">
      <c r="A180" s="87"/>
      <c r="B180" s="87"/>
      <c r="C180" s="87"/>
      <c r="D180" s="87"/>
      <c r="E180" s="87"/>
      <c r="F180" s="87"/>
      <c r="G180" s="88"/>
      <c r="I180" s="117"/>
      <c r="J180" s="117"/>
      <c r="K180" s="117"/>
      <c r="L180" s="117"/>
      <c r="M180" s="117"/>
      <c r="N180" s="117"/>
      <c r="O180" s="117"/>
      <c r="P180" s="159"/>
      <c r="Q180" s="159"/>
      <c r="R180" s="117"/>
      <c r="S180" s="117"/>
      <c r="T180" s="117"/>
      <c r="U180" s="147">
        <v>0.5</v>
      </c>
      <c r="V180" s="117"/>
      <c r="W180" s="117"/>
      <c r="X180" s="117"/>
      <c r="Y180" s="117"/>
      <c r="Z180" s="117"/>
      <c r="AA180" s="117"/>
      <c r="AB180" s="117"/>
    </row>
    <row r="181" spans="1:28" x14ac:dyDescent="0.3">
      <c r="A181" s="87"/>
      <c r="B181" s="87"/>
      <c r="C181" s="87"/>
      <c r="D181" s="87"/>
      <c r="E181" s="87"/>
      <c r="F181" s="87"/>
      <c r="G181" s="88"/>
      <c r="I181" s="117"/>
      <c r="J181" s="117"/>
      <c r="K181" s="117"/>
      <c r="L181" s="117"/>
      <c r="M181" s="117"/>
      <c r="N181" s="117"/>
      <c r="O181" s="117"/>
      <c r="P181" s="159"/>
      <c r="Q181" s="159"/>
      <c r="R181" s="117"/>
      <c r="S181" s="117"/>
      <c r="T181" s="117"/>
      <c r="U181" s="147">
        <v>0.51</v>
      </c>
      <c r="V181" s="117"/>
      <c r="W181" s="117"/>
      <c r="X181" s="117"/>
      <c r="Y181" s="117"/>
      <c r="Z181" s="117"/>
      <c r="AA181" s="117"/>
      <c r="AB181" s="117"/>
    </row>
    <row r="182" spans="1:28" x14ac:dyDescent="0.3">
      <c r="A182" s="87"/>
      <c r="B182" s="87"/>
      <c r="C182" s="87"/>
      <c r="D182" s="87"/>
      <c r="E182" s="87"/>
      <c r="F182" s="87"/>
      <c r="G182" s="88"/>
      <c r="I182" s="117"/>
      <c r="J182" s="117"/>
      <c r="K182" s="117"/>
      <c r="L182" s="117"/>
      <c r="M182" s="117"/>
      <c r="N182" s="117"/>
      <c r="O182" s="117"/>
      <c r="P182" s="159"/>
      <c r="Q182" s="159"/>
      <c r="R182" s="117"/>
      <c r="S182" s="117"/>
      <c r="T182" s="117"/>
      <c r="U182" s="147">
        <v>0.52</v>
      </c>
      <c r="V182" s="117"/>
      <c r="W182" s="117"/>
      <c r="X182" s="117"/>
      <c r="Y182" s="117"/>
      <c r="Z182" s="117"/>
      <c r="AA182" s="117"/>
      <c r="AB182" s="117"/>
    </row>
    <row r="183" spans="1:28" x14ac:dyDescent="0.3">
      <c r="A183" s="87"/>
      <c r="B183" s="87"/>
      <c r="C183" s="87"/>
      <c r="D183" s="87"/>
      <c r="E183" s="87"/>
      <c r="F183" s="87"/>
      <c r="G183" s="88"/>
      <c r="I183" s="117"/>
      <c r="J183" s="117"/>
      <c r="K183" s="117"/>
      <c r="L183" s="117"/>
      <c r="M183" s="117"/>
      <c r="N183" s="117"/>
      <c r="O183" s="117"/>
      <c r="P183" s="159"/>
      <c r="Q183" s="159"/>
      <c r="R183" s="117"/>
      <c r="S183" s="117"/>
      <c r="T183" s="117"/>
      <c r="U183" s="147">
        <v>0.53</v>
      </c>
      <c r="V183" s="117"/>
      <c r="W183" s="117"/>
      <c r="X183" s="117"/>
      <c r="Y183" s="117"/>
      <c r="Z183" s="117"/>
      <c r="AA183" s="117"/>
      <c r="AB183" s="117"/>
    </row>
    <row r="184" spans="1:28" x14ac:dyDescent="0.3">
      <c r="A184" s="87"/>
      <c r="B184" s="87"/>
      <c r="C184" s="87"/>
      <c r="D184" s="87"/>
      <c r="E184" s="87"/>
      <c r="F184" s="87"/>
      <c r="G184" s="88"/>
      <c r="I184" s="117"/>
      <c r="J184" s="117"/>
      <c r="K184" s="117"/>
      <c r="L184" s="117"/>
      <c r="M184" s="117"/>
      <c r="N184" s="117"/>
      <c r="O184" s="117"/>
      <c r="P184" s="159"/>
      <c r="Q184" s="159"/>
      <c r="R184" s="117"/>
      <c r="S184" s="117"/>
      <c r="T184" s="117"/>
      <c r="U184" s="147">
        <v>0.54</v>
      </c>
      <c r="V184" s="117"/>
      <c r="W184" s="117"/>
      <c r="X184" s="117"/>
      <c r="Y184" s="117"/>
      <c r="Z184" s="117"/>
      <c r="AA184" s="117"/>
      <c r="AB184" s="117"/>
    </row>
    <row r="185" spans="1:28" x14ac:dyDescent="0.3">
      <c r="A185" s="87"/>
      <c r="B185" s="87"/>
      <c r="C185" s="87"/>
      <c r="D185" s="87"/>
      <c r="E185" s="87"/>
      <c r="F185" s="87"/>
      <c r="G185" s="88"/>
      <c r="I185" s="117"/>
      <c r="J185" s="117"/>
      <c r="K185" s="117"/>
      <c r="L185" s="117"/>
      <c r="M185" s="117"/>
      <c r="N185" s="117"/>
      <c r="O185" s="117"/>
      <c r="P185" s="159"/>
      <c r="Q185" s="159"/>
      <c r="R185" s="117"/>
      <c r="S185" s="117"/>
      <c r="T185" s="117"/>
      <c r="U185" s="147">
        <v>0.55000000000000004</v>
      </c>
      <c r="V185" s="117"/>
      <c r="W185" s="117"/>
      <c r="X185" s="117"/>
      <c r="Y185" s="117"/>
      <c r="Z185" s="117"/>
      <c r="AA185" s="117"/>
      <c r="AB185" s="117"/>
    </row>
    <row r="186" spans="1:28" x14ac:dyDescent="0.3">
      <c r="A186" s="87"/>
      <c r="B186" s="87"/>
      <c r="C186" s="87"/>
      <c r="D186" s="87"/>
      <c r="E186" s="87"/>
      <c r="F186" s="87"/>
      <c r="G186" s="88"/>
      <c r="I186" s="117"/>
      <c r="J186" s="117"/>
      <c r="K186" s="117"/>
      <c r="L186" s="117"/>
      <c r="M186" s="117"/>
      <c r="N186" s="117"/>
      <c r="O186" s="117"/>
      <c r="P186" s="159"/>
      <c r="Q186" s="159"/>
      <c r="R186" s="117"/>
      <c r="S186" s="117"/>
      <c r="T186" s="117"/>
      <c r="U186" s="147">
        <v>0.56000000000000005</v>
      </c>
      <c r="V186" s="117"/>
      <c r="W186" s="117"/>
      <c r="X186" s="117"/>
      <c r="Y186" s="117"/>
      <c r="Z186" s="117"/>
      <c r="AA186" s="117"/>
      <c r="AB186" s="117"/>
    </row>
    <row r="187" spans="1:28" x14ac:dyDescent="0.3">
      <c r="A187" s="87"/>
      <c r="B187" s="87"/>
      <c r="C187" s="87"/>
      <c r="D187" s="87"/>
      <c r="E187" s="87"/>
      <c r="F187" s="87"/>
      <c r="G187" s="88"/>
      <c r="I187" s="117"/>
      <c r="J187" s="117"/>
      <c r="K187" s="117"/>
      <c r="L187" s="117"/>
      <c r="M187" s="117"/>
      <c r="N187" s="117"/>
      <c r="O187" s="117"/>
      <c r="P187" s="159"/>
      <c r="Q187" s="159"/>
      <c r="R187" s="117"/>
      <c r="S187" s="117"/>
      <c r="T187" s="117"/>
      <c r="U187" s="147">
        <v>0.56999999999999995</v>
      </c>
      <c r="V187" s="117"/>
      <c r="W187" s="117"/>
      <c r="X187" s="117"/>
      <c r="Y187" s="117"/>
      <c r="Z187" s="117"/>
      <c r="AA187" s="117"/>
      <c r="AB187" s="117"/>
    </row>
    <row r="188" spans="1:28" x14ac:dyDescent="0.3">
      <c r="A188" s="87"/>
      <c r="B188" s="87"/>
      <c r="C188" s="87"/>
      <c r="D188" s="87"/>
      <c r="E188" s="87"/>
      <c r="F188" s="87"/>
      <c r="G188" s="88"/>
      <c r="I188" s="117"/>
      <c r="J188" s="117"/>
      <c r="K188" s="117"/>
      <c r="L188" s="117"/>
      <c r="M188" s="117"/>
      <c r="N188" s="117"/>
      <c r="O188" s="117"/>
      <c r="P188" s="159"/>
      <c r="Q188" s="159"/>
      <c r="R188" s="117"/>
      <c r="S188" s="117"/>
      <c r="T188" s="117"/>
      <c r="U188" s="147">
        <v>0.57999999999999996</v>
      </c>
      <c r="V188" s="117"/>
      <c r="W188" s="117"/>
      <c r="X188" s="117"/>
      <c r="Y188" s="117"/>
      <c r="Z188" s="117"/>
      <c r="AA188" s="117"/>
      <c r="AB188" s="117"/>
    </row>
    <row r="189" spans="1:28" x14ac:dyDescent="0.3">
      <c r="A189" s="87"/>
      <c r="B189" s="87"/>
      <c r="C189" s="87"/>
      <c r="D189" s="87"/>
      <c r="E189" s="87"/>
      <c r="F189" s="87"/>
      <c r="G189" s="88"/>
      <c r="I189" s="117"/>
      <c r="J189" s="117"/>
      <c r="K189" s="117"/>
      <c r="L189" s="117"/>
      <c r="M189" s="117"/>
      <c r="N189" s="117"/>
      <c r="O189" s="117"/>
      <c r="P189" s="159"/>
      <c r="Q189" s="159"/>
      <c r="R189" s="117"/>
      <c r="S189" s="117"/>
      <c r="T189" s="117"/>
      <c r="U189" s="147">
        <v>0.59</v>
      </c>
      <c r="V189" s="117"/>
      <c r="W189" s="117"/>
      <c r="X189" s="117"/>
      <c r="Y189" s="117"/>
      <c r="Z189" s="117"/>
      <c r="AA189" s="117"/>
      <c r="AB189" s="117"/>
    </row>
    <row r="190" spans="1:28" x14ac:dyDescent="0.3">
      <c r="A190" s="87"/>
      <c r="B190" s="87"/>
      <c r="C190" s="87"/>
      <c r="D190" s="87"/>
      <c r="E190" s="87"/>
      <c r="F190" s="87"/>
      <c r="G190" s="88"/>
      <c r="I190" s="117"/>
      <c r="J190" s="117"/>
      <c r="K190" s="117"/>
      <c r="L190" s="117"/>
      <c r="M190" s="117"/>
      <c r="N190" s="117"/>
      <c r="O190" s="117"/>
      <c r="P190" s="159"/>
      <c r="Q190" s="159"/>
      <c r="R190" s="117"/>
      <c r="S190" s="117"/>
      <c r="T190" s="117"/>
      <c r="U190" s="147">
        <v>0.6</v>
      </c>
      <c r="V190" s="117"/>
      <c r="W190" s="117"/>
      <c r="X190" s="117"/>
      <c r="Y190" s="117"/>
      <c r="Z190" s="117"/>
      <c r="AA190" s="117"/>
      <c r="AB190" s="117"/>
    </row>
    <row r="191" spans="1:28" x14ac:dyDescent="0.3">
      <c r="A191" s="87"/>
      <c r="B191" s="87"/>
      <c r="C191" s="87"/>
      <c r="D191" s="87"/>
      <c r="E191" s="87"/>
      <c r="F191" s="87"/>
      <c r="G191" s="88"/>
      <c r="I191" s="117"/>
      <c r="J191" s="117"/>
      <c r="K191" s="117"/>
      <c r="L191" s="117"/>
      <c r="M191" s="117"/>
      <c r="N191" s="117"/>
      <c r="O191" s="117"/>
      <c r="P191" s="159"/>
      <c r="Q191" s="159"/>
      <c r="R191" s="117"/>
      <c r="S191" s="117"/>
      <c r="T191" s="117"/>
      <c r="U191" s="147">
        <v>0.61</v>
      </c>
      <c r="V191" s="117"/>
      <c r="W191" s="117"/>
      <c r="X191" s="117"/>
      <c r="Y191" s="117"/>
      <c r="Z191" s="117"/>
      <c r="AA191" s="117"/>
      <c r="AB191" s="117"/>
    </row>
    <row r="192" spans="1:28" x14ac:dyDescent="0.3">
      <c r="A192" s="87"/>
      <c r="B192" s="87"/>
      <c r="C192" s="87"/>
      <c r="D192" s="87"/>
      <c r="E192" s="87"/>
      <c r="F192" s="87"/>
      <c r="G192" s="88"/>
      <c r="I192" s="117"/>
      <c r="J192" s="117"/>
      <c r="K192" s="117"/>
      <c r="L192" s="117"/>
      <c r="M192" s="117"/>
      <c r="N192" s="117"/>
      <c r="O192" s="117"/>
      <c r="P192" s="159"/>
      <c r="Q192" s="159"/>
      <c r="R192" s="117"/>
      <c r="S192" s="117"/>
      <c r="T192" s="117"/>
      <c r="U192" s="147">
        <v>0.62</v>
      </c>
      <c r="V192" s="117"/>
      <c r="W192" s="117"/>
      <c r="X192" s="117"/>
      <c r="Y192" s="117"/>
      <c r="Z192" s="117"/>
      <c r="AA192" s="117"/>
      <c r="AB192" s="117"/>
    </row>
    <row r="193" spans="1:41" x14ac:dyDescent="0.3">
      <c r="A193" s="87"/>
      <c r="B193" s="87"/>
      <c r="C193" s="87"/>
      <c r="D193" s="87"/>
      <c r="E193" s="87"/>
      <c r="F193" s="87"/>
      <c r="G193" s="88"/>
      <c r="I193" s="117"/>
      <c r="J193" s="117"/>
      <c r="K193" s="117"/>
      <c r="L193" s="117"/>
      <c r="M193" s="117"/>
      <c r="N193" s="117"/>
      <c r="O193" s="117"/>
      <c r="P193" s="159"/>
      <c r="Q193" s="159"/>
      <c r="R193" s="117"/>
      <c r="S193" s="117"/>
      <c r="T193" s="117"/>
      <c r="U193" s="147">
        <v>0.63</v>
      </c>
      <c r="V193" s="117"/>
      <c r="W193" s="117"/>
      <c r="X193" s="117"/>
      <c r="Y193" s="117"/>
      <c r="Z193" s="117"/>
      <c r="AA193" s="117"/>
      <c r="AB193" s="117"/>
    </row>
    <row r="194" spans="1:41" x14ac:dyDescent="0.3">
      <c r="A194" s="87"/>
      <c r="B194" s="87"/>
      <c r="C194" s="87"/>
      <c r="D194" s="87"/>
      <c r="E194" s="87"/>
      <c r="F194" s="87"/>
      <c r="G194" s="88"/>
      <c r="O194" s="117"/>
      <c r="P194" s="159"/>
      <c r="Q194" s="159"/>
      <c r="R194" s="117"/>
      <c r="S194" s="117"/>
      <c r="T194" s="117"/>
      <c r="U194" s="147">
        <v>0.64</v>
      </c>
      <c r="V194" s="117"/>
      <c r="W194" s="117"/>
      <c r="X194" s="117"/>
      <c r="Y194" s="117"/>
      <c r="Z194" s="117"/>
      <c r="AA194" s="117"/>
    </row>
    <row r="195" spans="1:41" x14ac:dyDescent="0.3">
      <c r="A195" s="87"/>
      <c r="B195" s="87"/>
      <c r="C195" s="87"/>
      <c r="D195" s="87"/>
      <c r="E195" s="87"/>
      <c r="F195" s="87"/>
      <c r="G195" s="88"/>
      <c r="O195" s="117"/>
      <c r="P195" s="159"/>
      <c r="Q195" s="159"/>
      <c r="R195" s="117"/>
      <c r="S195" s="117"/>
      <c r="T195" s="117"/>
      <c r="U195" s="147">
        <v>0.65</v>
      </c>
      <c r="V195" s="117"/>
      <c r="W195" s="117"/>
      <c r="X195" s="117"/>
      <c r="Y195" s="117"/>
      <c r="Z195" s="117"/>
      <c r="AA195" s="117"/>
    </row>
    <row r="196" spans="1:41" x14ac:dyDescent="0.3">
      <c r="A196" s="87"/>
      <c r="B196" s="87"/>
      <c r="C196" s="87"/>
      <c r="D196" s="87"/>
      <c r="E196" s="87"/>
      <c r="F196" s="87"/>
      <c r="G196" s="88"/>
      <c r="O196" s="117"/>
      <c r="P196" s="159"/>
      <c r="Q196" s="159"/>
      <c r="R196" s="117"/>
      <c r="S196" s="117"/>
      <c r="T196" s="117"/>
      <c r="U196" s="147">
        <v>0.66</v>
      </c>
      <c r="V196" s="117"/>
      <c r="W196" s="117"/>
      <c r="X196" s="117"/>
      <c r="Y196" s="117"/>
      <c r="Z196" s="117"/>
      <c r="AA196" s="117"/>
    </row>
    <row r="197" spans="1:41" x14ac:dyDescent="0.3">
      <c r="A197" s="87"/>
      <c r="B197" s="87"/>
      <c r="C197" s="87"/>
      <c r="D197" s="87"/>
      <c r="E197" s="87"/>
      <c r="F197" s="87"/>
      <c r="G197" s="88"/>
      <c r="O197" s="117"/>
      <c r="P197" s="159"/>
      <c r="Q197" s="159"/>
      <c r="R197" s="117"/>
      <c r="S197" s="117"/>
      <c r="T197" s="117"/>
      <c r="U197" s="147">
        <v>0.67</v>
      </c>
      <c r="V197" s="117"/>
      <c r="W197" s="117"/>
      <c r="X197" s="117"/>
      <c r="Y197" s="117"/>
      <c r="Z197" s="117"/>
      <c r="AA197" s="117"/>
    </row>
    <row r="198" spans="1:41" x14ac:dyDescent="0.3">
      <c r="A198" s="87"/>
      <c r="B198" s="87"/>
      <c r="C198" s="87"/>
      <c r="D198" s="87"/>
      <c r="E198" s="87"/>
      <c r="F198" s="87"/>
      <c r="G198" s="88"/>
      <c r="O198" s="117"/>
      <c r="P198" s="159"/>
      <c r="Q198" s="159"/>
      <c r="R198" s="117"/>
      <c r="S198" s="117"/>
      <c r="T198" s="117"/>
      <c r="U198" s="147">
        <v>0.68</v>
      </c>
      <c r="V198" s="117"/>
      <c r="W198" s="117"/>
      <c r="X198" s="117"/>
      <c r="Y198" s="117"/>
      <c r="Z198" s="117"/>
      <c r="AA198" s="117"/>
    </row>
    <row r="199" spans="1:41" x14ac:dyDescent="0.3">
      <c r="A199" s="87"/>
      <c r="B199" s="87"/>
      <c r="C199" s="87"/>
      <c r="D199" s="87"/>
      <c r="E199" s="87"/>
      <c r="F199" s="87"/>
      <c r="G199" s="88"/>
      <c r="O199" s="117"/>
      <c r="P199" s="159"/>
      <c r="Q199" s="159"/>
      <c r="R199" s="117"/>
      <c r="S199" s="117"/>
      <c r="T199" s="117"/>
      <c r="U199" s="147">
        <v>0.69</v>
      </c>
      <c r="V199" s="117"/>
      <c r="W199" s="117"/>
      <c r="X199" s="117"/>
      <c r="Y199" s="117"/>
      <c r="Z199" s="117"/>
      <c r="AA199" s="117"/>
    </row>
    <row r="200" spans="1:41" x14ac:dyDescent="0.3">
      <c r="A200" s="87"/>
      <c r="B200" s="87"/>
      <c r="C200" s="87"/>
      <c r="D200" s="87"/>
      <c r="E200" s="87"/>
      <c r="F200" s="87"/>
      <c r="G200" s="88"/>
      <c r="O200" s="117"/>
      <c r="P200" s="159"/>
      <c r="Q200" s="159"/>
      <c r="R200" s="117"/>
      <c r="S200" s="117"/>
      <c r="T200" s="117"/>
      <c r="U200" s="147">
        <v>0.7</v>
      </c>
      <c r="V200" s="117"/>
      <c r="W200" s="117"/>
      <c r="X200" s="117"/>
      <c r="Y200" s="117"/>
      <c r="Z200" s="117"/>
      <c r="AA200" s="117"/>
    </row>
    <row r="201" spans="1:41" s="121" customFormat="1" x14ac:dyDescent="0.3">
      <c r="A201" s="87"/>
      <c r="B201" s="87"/>
      <c r="C201" s="87"/>
      <c r="D201" s="87"/>
      <c r="E201" s="87"/>
      <c r="F201" s="87"/>
      <c r="G201" s="88"/>
      <c r="H201" s="117"/>
      <c r="O201" s="117"/>
      <c r="P201" s="159"/>
      <c r="Q201" s="159"/>
      <c r="R201" s="117"/>
      <c r="S201" s="117"/>
      <c r="T201" s="117"/>
      <c r="U201" s="147">
        <v>0.71</v>
      </c>
      <c r="V201" s="117"/>
      <c r="W201" s="117"/>
      <c r="X201" s="117"/>
      <c r="Y201" s="117"/>
      <c r="Z201" s="117"/>
      <c r="AA201" s="117"/>
      <c r="AC201" s="117"/>
      <c r="AD201" s="119"/>
      <c r="AE201" s="117"/>
      <c r="AF201" s="117"/>
      <c r="AG201" s="117"/>
      <c r="AH201" s="117"/>
      <c r="AI201" s="117"/>
      <c r="AJ201" s="117"/>
      <c r="AK201" s="117"/>
      <c r="AL201" s="117"/>
      <c r="AM201" s="117"/>
      <c r="AN201" s="117"/>
      <c r="AO201" s="120"/>
    </row>
    <row r="202" spans="1:41" s="121" customFormat="1" x14ac:dyDescent="0.3">
      <c r="A202" s="87"/>
      <c r="B202" s="87"/>
      <c r="C202" s="87"/>
      <c r="D202" s="87"/>
      <c r="E202" s="87"/>
      <c r="F202" s="87"/>
      <c r="G202" s="88"/>
      <c r="H202" s="117"/>
      <c r="O202" s="160"/>
      <c r="P202" s="159"/>
      <c r="Q202" s="159"/>
      <c r="R202" s="117"/>
      <c r="S202" s="117"/>
      <c r="T202" s="117"/>
      <c r="U202" s="147">
        <v>0.72</v>
      </c>
      <c r="V202" s="117"/>
      <c r="W202" s="117"/>
      <c r="X202" s="117"/>
      <c r="Y202" s="117"/>
      <c r="Z202" s="117"/>
      <c r="AA202" s="117"/>
      <c r="AC202" s="117"/>
      <c r="AD202" s="119"/>
      <c r="AE202" s="117"/>
      <c r="AF202" s="117"/>
      <c r="AG202" s="117"/>
      <c r="AH202" s="117"/>
      <c r="AI202" s="117"/>
      <c r="AJ202" s="117"/>
      <c r="AK202" s="117"/>
      <c r="AL202" s="117"/>
      <c r="AM202" s="117"/>
      <c r="AN202" s="117"/>
      <c r="AO202" s="120"/>
    </row>
    <row r="203" spans="1:41" s="121" customFormat="1" x14ac:dyDescent="0.3">
      <c r="A203" s="87"/>
      <c r="B203" s="87"/>
      <c r="C203" s="87"/>
      <c r="D203" s="87"/>
      <c r="E203" s="87"/>
      <c r="F203" s="87"/>
      <c r="G203" s="88"/>
      <c r="H203" s="117"/>
      <c r="O203" s="160"/>
      <c r="P203" s="159"/>
      <c r="Q203" s="159"/>
      <c r="R203" s="117"/>
      <c r="S203" s="117"/>
      <c r="T203" s="117"/>
      <c r="U203" s="147">
        <v>0.73</v>
      </c>
      <c r="V203" s="117"/>
      <c r="W203" s="117"/>
      <c r="X203" s="117"/>
      <c r="Y203" s="117"/>
      <c r="Z203" s="117"/>
      <c r="AA203" s="117"/>
      <c r="AC203" s="117"/>
      <c r="AD203" s="119"/>
      <c r="AE203" s="117"/>
      <c r="AF203" s="117"/>
      <c r="AG203" s="117"/>
      <c r="AH203" s="117"/>
      <c r="AI203" s="117"/>
      <c r="AJ203" s="117"/>
      <c r="AK203" s="117"/>
      <c r="AL203" s="117"/>
      <c r="AM203" s="117"/>
      <c r="AN203" s="117"/>
      <c r="AO203" s="120"/>
    </row>
    <row r="204" spans="1:41" s="121" customFormat="1" x14ac:dyDescent="0.3">
      <c r="A204" s="87"/>
      <c r="B204" s="87"/>
      <c r="C204" s="87"/>
      <c r="D204" s="87"/>
      <c r="E204" s="87"/>
      <c r="F204" s="87"/>
      <c r="G204" s="88"/>
      <c r="H204" s="117"/>
      <c r="O204" s="160"/>
      <c r="P204" s="159"/>
      <c r="Q204" s="159"/>
      <c r="R204" s="117"/>
      <c r="S204" s="117"/>
      <c r="T204" s="117"/>
      <c r="U204" s="147">
        <v>0.74</v>
      </c>
      <c r="V204" s="117"/>
      <c r="W204" s="117"/>
      <c r="X204" s="117"/>
      <c r="Y204" s="117"/>
      <c r="Z204" s="117"/>
      <c r="AA204" s="117"/>
      <c r="AC204" s="117"/>
      <c r="AD204" s="119"/>
      <c r="AE204" s="117"/>
      <c r="AF204" s="117"/>
      <c r="AG204" s="117"/>
      <c r="AH204" s="117"/>
      <c r="AI204" s="117"/>
      <c r="AJ204" s="117"/>
      <c r="AK204" s="117"/>
      <c r="AL204" s="117"/>
      <c r="AM204" s="117"/>
      <c r="AN204" s="117"/>
      <c r="AO204" s="120"/>
    </row>
    <row r="205" spans="1:41" s="121" customFormat="1" x14ac:dyDescent="0.3">
      <c r="A205" s="87"/>
      <c r="B205" s="87"/>
      <c r="C205" s="87"/>
      <c r="D205" s="87"/>
      <c r="E205" s="87"/>
      <c r="F205" s="87"/>
      <c r="G205" s="88"/>
      <c r="H205" s="117"/>
      <c r="O205" s="160"/>
      <c r="P205" s="159"/>
      <c r="Q205" s="159"/>
      <c r="R205" s="117"/>
      <c r="S205" s="117"/>
      <c r="T205" s="117"/>
      <c r="U205" s="147">
        <v>0.75</v>
      </c>
      <c r="V205" s="117"/>
      <c r="W205" s="117"/>
      <c r="X205" s="117"/>
      <c r="Y205" s="117"/>
      <c r="Z205" s="117"/>
      <c r="AA205" s="117"/>
      <c r="AC205" s="117"/>
      <c r="AD205" s="119"/>
      <c r="AE205" s="117"/>
      <c r="AF205" s="117"/>
      <c r="AG205" s="117"/>
      <c r="AH205" s="117"/>
      <c r="AI205" s="117"/>
      <c r="AJ205" s="117"/>
      <c r="AK205" s="117"/>
      <c r="AL205" s="117"/>
      <c r="AM205" s="117"/>
      <c r="AN205" s="117"/>
      <c r="AO205" s="120"/>
    </row>
    <row r="206" spans="1:41" s="121" customFormat="1" x14ac:dyDescent="0.3">
      <c r="A206" s="87"/>
      <c r="B206" s="87"/>
      <c r="C206" s="87"/>
      <c r="D206" s="87"/>
      <c r="E206" s="87"/>
      <c r="F206" s="87"/>
      <c r="G206" s="88"/>
      <c r="H206" s="117"/>
      <c r="O206" s="160"/>
      <c r="P206" s="159"/>
      <c r="Q206" s="159"/>
      <c r="R206" s="117"/>
      <c r="S206" s="117"/>
      <c r="T206" s="117"/>
      <c r="U206" s="147">
        <v>0.76</v>
      </c>
      <c r="V206" s="117"/>
      <c r="W206" s="117"/>
      <c r="X206" s="117"/>
      <c r="Y206" s="117"/>
      <c r="Z206" s="117"/>
      <c r="AA206" s="117"/>
      <c r="AC206" s="117"/>
      <c r="AD206" s="119"/>
      <c r="AE206" s="117"/>
      <c r="AF206" s="117"/>
      <c r="AG206" s="117"/>
      <c r="AH206" s="117"/>
      <c r="AI206" s="117"/>
      <c r="AJ206" s="117"/>
      <c r="AK206" s="117"/>
      <c r="AL206" s="117"/>
      <c r="AM206" s="117"/>
      <c r="AN206" s="117"/>
      <c r="AO206" s="120"/>
    </row>
    <row r="207" spans="1:41" s="121" customFormat="1" x14ac:dyDescent="0.3">
      <c r="A207" s="87"/>
      <c r="B207" s="87"/>
      <c r="C207" s="87"/>
      <c r="D207" s="87"/>
      <c r="E207" s="87"/>
      <c r="F207" s="87"/>
      <c r="G207" s="88"/>
      <c r="H207" s="117"/>
      <c r="O207" s="160"/>
      <c r="P207" s="117"/>
      <c r="Q207" s="117"/>
      <c r="R207" s="117"/>
      <c r="S207" s="117"/>
      <c r="T207" s="117"/>
      <c r="U207" s="147">
        <v>0.77</v>
      </c>
      <c r="V207" s="117"/>
      <c r="W207" s="117"/>
      <c r="X207" s="117"/>
      <c r="Y207" s="117"/>
      <c r="Z207" s="117"/>
      <c r="AA207" s="117"/>
      <c r="AC207" s="117"/>
      <c r="AD207" s="119"/>
      <c r="AE207" s="117"/>
      <c r="AF207" s="117"/>
      <c r="AG207" s="117"/>
      <c r="AH207" s="117"/>
      <c r="AI207" s="117"/>
      <c r="AJ207" s="117"/>
      <c r="AK207" s="117"/>
      <c r="AL207" s="117"/>
      <c r="AM207" s="117"/>
      <c r="AN207" s="117"/>
      <c r="AO207" s="120"/>
    </row>
    <row r="208" spans="1:41" s="121" customFormat="1" x14ac:dyDescent="0.3">
      <c r="A208" s="87"/>
      <c r="B208" s="87"/>
      <c r="C208" s="87"/>
      <c r="D208" s="87"/>
      <c r="E208" s="87"/>
      <c r="F208" s="87"/>
      <c r="G208" s="88"/>
      <c r="H208" s="117"/>
      <c r="O208" s="160"/>
      <c r="P208" s="117"/>
      <c r="Q208" s="117"/>
      <c r="R208" s="117"/>
      <c r="S208" s="117"/>
      <c r="T208" s="117"/>
      <c r="U208" s="147">
        <v>0.78</v>
      </c>
      <c r="V208" s="117"/>
      <c r="W208" s="117"/>
      <c r="X208" s="117"/>
      <c r="Y208" s="117"/>
      <c r="Z208" s="117"/>
      <c r="AA208" s="117"/>
      <c r="AC208" s="117"/>
      <c r="AD208" s="119"/>
      <c r="AE208" s="117"/>
      <c r="AF208" s="117"/>
      <c r="AG208" s="117"/>
      <c r="AH208" s="117"/>
      <c r="AI208" s="117"/>
      <c r="AJ208" s="117"/>
      <c r="AK208" s="117"/>
      <c r="AL208" s="117"/>
      <c r="AM208" s="117"/>
      <c r="AN208" s="117"/>
      <c r="AO208" s="120"/>
    </row>
    <row r="209" spans="1:41" s="121" customFormat="1" x14ac:dyDescent="0.3">
      <c r="A209" s="87"/>
      <c r="B209" s="87"/>
      <c r="C209" s="87"/>
      <c r="D209" s="87"/>
      <c r="E209" s="87"/>
      <c r="F209" s="87"/>
      <c r="G209" s="88"/>
      <c r="H209" s="117"/>
      <c r="O209" s="119"/>
      <c r="P209" s="117"/>
      <c r="Q209" s="117"/>
      <c r="R209" s="117"/>
      <c r="S209" s="117"/>
      <c r="T209" s="117"/>
      <c r="U209" s="147">
        <v>0.79</v>
      </c>
      <c r="V209" s="117"/>
      <c r="W209" s="117"/>
      <c r="X209" s="117"/>
      <c r="Y209" s="117"/>
      <c r="Z209" s="117"/>
      <c r="AA209" s="117"/>
      <c r="AC209" s="117"/>
      <c r="AD209" s="119"/>
      <c r="AE209" s="117"/>
      <c r="AF209" s="117"/>
      <c r="AG209" s="117"/>
      <c r="AH209" s="117"/>
      <c r="AI209" s="117"/>
      <c r="AJ209" s="117"/>
      <c r="AK209" s="117"/>
      <c r="AL209" s="117"/>
      <c r="AM209" s="117"/>
      <c r="AN209" s="117"/>
      <c r="AO209" s="120"/>
    </row>
    <row r="210" spans="1:41" s="121" customFormat="1" x14ac:dyDescent="0.3">
      <c r="A210" s="87"/>
      <c r="B210" s="87"/>
      <c r="C210" s="87"/>
      <c r="D210" s="87"/>
      <c r="E210" s="87"/>
      <c r="F210" s="87"/>
      <c r="G210" s="88"/>
      <c r="H210" s="117"/>
      <c r="O210" s="119"/>
      <c r="P210" s="117"/>
      <c r="Q210" s="117"/>
      <c r="R210" s="117"/>
      <c r="S210" s="117"/>
      <c r="T210" s="117"/>
      <c r="U210" s="147">
        <v>0.8</v>
      </c>
      <c r="V210" s="117"/>
      <c r="W210" s="117"/>
      <c r="X210" s="117"/>
      <c r="Y210" s="117"/>
      <c r="Z210" s="117"/>
      <c r="AA210" s="117"/>
      <c r="AC210" s="117"/>
      <c r="AD210" s="119"/>
      <c r="AE210" s="117"/>
      <c r="AF210" s="117"/>
      <c r="AG210" s="117"/>
      <c r="AH210" s="117"/>
      <c r="AI210" s="117"/>
      <c r="AJ210" s="117"/>
      <c r="AK210" s="117"/>
      <c r="AL210" s="117"/>
      <c r="AM210" s="117"/>
      <c r="AN210" s="117"/>
      <c r="AO210" s="120"/>
    </row>
    <row r="211" spans="1:41" s="121" customFormat="1" x14ac:dyDescent="0.3">
      <c r="A211" s="87"/>
      <c r="B211" s="87"/>
      <c r="C211" s="87"/>
      <c r="D211" s="87"/>
      <c r="E211" s="87"/>
      <c r="F211" s="87"/>
      <c r="G211" s="88"/>
      <c r="H211" s="117"/>
      <c r="O211" s="119"/>
      <c r="P211" s="117"/>
      <c r="Q211" s="117"/>
      <c r="R211" s="117"/>
      <c r="S211" s="117"/>
      <c r="T211" s="117"/>
      <c r="U211" s="147">
        <v>0.81</v>
      </c>
      <c r="V211" s="117"/>
      <c r="W211" s="117"/>
      <c r="X211" s="117"/>
      <c r="Y211" s="117"/>
      <c r="Z211" s="117"/>
      <c r="AA211" s="117"/>
      <c r="AC211" s="117"/>
      <c r="AD211" s="119"/>
      <c r="AE211" s="117"/>
      <c r="AF211" s="117"/>
      <c r="AG211" s="117"/>
      <c r="AH211" s="117"/>
      <c r="AI211" s="117"/>
      <c r="AJ211" s="117"/>
      <c r="AK211" s="117"/>
      <c r="AL211" s="117"/>
      <c r="AM211" s="117"/>
      <c r="AN211" s="117"/>
      <c r="AO211" s="120"/>
    </row>
    <row r="212" spans="1:41" s="121" customFormat="1" x14ac:dyDescent="0.3">
      <c r="A212" s="87"/>
      <c r="B212" s="87"/>
      <c r="C212" s="87"/>
      <c r="D212" s="87"/>
      <c r="E212" s="87"/>
      <c r="F212" s="87"/>
      <c r="G212" s="88"/>
      <c r="H212" s="117"/>
      <c r="O212" s="119"/>
      <c r="P212" s="117"/>
      <c r="Q212" s="117"/>
      <c r="R212" s="117"/>
      <c r="S212" s="117"/>
      <c r="T212" s="117"/>
      <c r="U212" s="147">
        <v>0.82</v>
      </c>
      <c r="V212" s="117"/>
      <c r="W212" s="117"/>
      <c r="X212" s="117"/>
      <c r="Y212" s="117"/>
      <c r="Z212" s="117"/>
      <c r="AA212" s="117"/>
      <c r="AC212" s="117"/>
      <c r="AD212" s="119"/>
      <c r="AE212" s="117"/>
      <c r="AF212" s="117"/>
      <c r="AG212" s="117"/>
      <c r="AH212" s="117"/>
      <c r="AI212" s="117"/>
      <c r="AJ212" s="117"/>
      <c r="AK212" s="117"/>
      <c r="AL212" s="117"/>
      <c r="AM212" s="117"/>
      <c r="AN212" s="117"/>
      <c r="AO212" s="120"/>
    </row>
    <row r="213" spans="1:41" s="121" customFormat="1" x14ac:dyDescent="0.3">
      <c r="A213" s="87"/>
      <c r="B213" s="87"/>
      <c r="C213" s="87"/>
      <c r="D213" s="87"/>
      <c r="E213" s="87"/>
      <c r="F213" s="87"/>
      <c r="G213" s="88"/>
      <c r="H213" s="117"/>
      <c r="O213" s="119"/>
      <c r="P213" s="117"/>
      <c r="Q213" s="117"/>
      <c r="R213" s="117"/>
      <c r="S213" s="117"/>
      <c r="T213" s="117"/>
      <c r="U213" s="147">
        <v>0.83</v>
      </c>
      <c r="V213" s="117"/>
      <c r="W213" s="117"/>
      <c r="X213" s="117"/>
      <c r="Y213" s="117"/>
      <c r="Z213" s="117"/>
      <c r="AA213" s="117"/>
      <c r="AC213" s="117"/>
      <c r="AD213" s="119"/>
      <c r="AE213" s="117"/>
      <c r="AF213" s="117"/>
      <c r="AG213" s="117"/>
      <c r="AH213" s="117"/>
      <c r="AI213" s="117"/>
      <c r="AJ213" s="117"/>
      <c r="AK213" s="117"/>
      <c r="AL213" s="117"/>
      <c r="AM213" s="117"/>
      <c r="AN213" s="117"/>
      <c r="AO213" s="120"/>
    </row>
    <row r="214" spans="1:41" s="121" customFormat="1" x14ac:dyDescent="0.3">
      <c r="A214" s="87"/>
      <c r="B214" s="87"/>
      <c r="C214" s="87"/>
      <c r="D214" s="87"/>
      <c r="E214" s="87"/>
      <c r="F214" s="87"/>
      <c r="G214" s="88"/>
      <c r="H214" s="117"/>
      <c r="O214" s="119"/>
      <c r="P214" s="117"/>
      <c r="Q214" s="117"/>
      <c r="R214" s="117"/>
      <c r="S214" s="117"/>
      <c r="T214" s="117"/>
      <c r="U214" s="147">
        <v>0.84</v>
      </c>
      <c r="V214" s="117"/>
      <c r="W214" s="117"/>
      <c r="X214" s="117"/>
      <c r="Y214" s="117"/>
      <c r="Z214" s="117"/>
      <c r="AA214" s="117"/>
      <c r="AC214" s="117"/>
      <c r="AD214" s="119"/>
      <c r="AE214" s="117"/>
      <c r="AF214" s="117"/>
      <c r="AG214" s="117"/>
      <c r="AH214" s="117"/>
      <c r="AI214" s="117"/>
      <c r="AJ214" s="117"/>
      <c r="AK214" s="117"/>
      <c r="AL214" s="117"/>
      <c r="AM214" s="117"/>
      <c r="AN214" s="117"/>
      <c r="AO214" s="120"/>
    </row>
    <row r="215" spans="1:41" s="121" customFormat="1" x14ac:dyDescent="0.3">
      <c r="A215" s="87"/>
      <c r="B215" s="87"/>
      <c r="C215" s="87"/>
      <c r="D215" s="87"/>
      <c r="E215" s="87"/>
      <c r="F215" s="87"/>
      <c r="G215" s="88"/>
      <c r="H215" s="117"/>
      <c r="O215" s="119"/>
      <c r="P215" s="117"/>
      <c r="Q215" s="117"/>
      <c r="R215" s="117"/>
      <c r="S215" s="117"/>
      <c r="T215" s="117"/>
      <c r="U215" s="147">
        <v>0.85</v>
      </c>
      <c r="V215" s="117"/>
      <c r="W215" s="117"/>
      <c r="X215" s="117"/>
      <c r="Y215" s="117"/>
      <c r="Z215" s="117"/>
      <c r="AA215" s="117"/>
      <c r="AC215" s="117"/>
      <c r="AD215" s="119"/>
      <c r="AE215" s="117"/>
      <c r="AF215" s="117"/>
      <c r="AG215" s="117"/>
      <c r="AH215" s="117"/>
      <c r="AI215" s="117"/>
      <c r="AJ215" s="117"/>
      <c r="AK215" s="117"/>
      <c r="AL215" s="117"/>
      <c r="AM215" s="117"/>
      <c r="AN215" s="117"/>
      <c r="AO215" s="120"/>
    </row>
    <row r="216" spans="1:41" s="121" customFormat="1" x14ac:dyDescent="0.3">
      <c r="A216" s="87"/>
      <c r="B216" s="87"/>
      <c r="C216" s="87"/>
      <c r="D216" s="87"/>
      <c r="E216" s="87"/>
      <c r="F216" s="87"/>
      <c r="G216" s="88"/>
      <c r="H216" s="117"/>
      <c r="O216" s="119"/>
      <c r="P216" s="117"/>
      <c r="Q216" s="117"/>
      <c r="R216" s="117"/>
      <c r="S216" s="117"/>
      <c r="T216" s="117"/>
      <c r="U216" s="147">
        <v>0.86</v>
      </c>
      <c r="V216" s="117"/>
      <c r="W216" s="117"/>
      <c r="X216" s="117"/>
      <c r="Y216" s="117"/>
      <c r="Z216" s="117"/>
      <c r="AA216" s="117"/>
      <c r="AC216" s="117"/>
      <c r="AD216" s="119"/>
      <c r="AE216" s="117"/>
      <c r="AF216" s="117"/>
      <c r="AG216" s="117"/>
      <c r="AH216" s="117"/>
      <c r="AI216" s="117"/>
      <c r="AJ216" s="117"/>
      <c r="AK216" s="117"/>
      <c r="AL216" s="117"/>
      <c r="AM216" s="117"/>
      <c r="AN216" s="117"/>
      <c r="AO216" s="120"/>
    </row>
    <row r="217" spans="1:41" s="121" customFormat="1" x14ac:dyDescent="0.3">
      <c r="A217" s="87"/>
      <c r="B217" s="87"/>
      <c r="C217" s="87"/>
      <c r="D217" s="87"/>
      <c r="E217" s="87"/>
      <c r="F217" s="87"/>
      <c r="G217" s="88"/>
      <c r="H217" s="117"/>
      <c r="O217" s="119"/>
      <c r="P217" s="117"/>
      <c r="Q217" s="117"/>
      <c r="R217" s="117"/>
      <c r="S217" s="117"/>
      <c r="T217" s="117"/>
      <c r="U217" s="147">
        <v>0.87</v>
      </c>
      <c r="V217" s="117"/>
      <c r="W217" s="117"/>
      <c r="X217" s="117"/>
      <c r="Y217" s="117"/>
      <c r="Z217" s="117"/>
      <c r="AA217" s="117"/>
      <c r="AC217" s="117"/>
      <c r="AD217" s="119"/>
      <c r="AE217" s="117"/>
      <c r="AF217" s="117"/>
      <c r="AG217" s="117"/>
      <c r="AH217" s="117"/>
      <c r="AI217" s="117"/>
      <c r="AJ217" s="117"/>
      <c r="AK217" s="117"/>
      <c r="AL217" s="117"/>
      <c r="AM217" s="117"/>
      <c r="AN217" s="117"/>
      <c r="AO217" s="120"/>
    </row>
    <row r="218" spans="1:41" s="121" customFormat="1" x14ac:dyDescent="0.3">
      <c r="A218" s="87"/>
      <c r="B218" s="87"/>
      <c r="C218" s="87"/>
      <c r="D218" s="87"/>
      <c r="E218" s="87"/>
      <c r="F218" s="87"/>
      <c r="G218" s="88"/>
      <c r="H218" s="117"/>
      <c r="O218" s="119"/>
      <c r="P218" s="117"/>
      <c r="Q218" s="117"/>
      <c r="R218" s="117"/>
      <c r="S218" s="117"/>
      <c r="T218" s="117"/>
      <c r="U218" s="147">
        <v>0.88</v>
      </c>
      <c r="V218" s="117"/>
      <c r="W218" s="117"/>
      <c r="X218" s="117"/>
      <c r="Y218" s="117"/>
      <c r="Z218" s="117"/>
      <c r="AA218" s="117"/>
      <c r="AC218" s="117"/>
      <c r="AD218" s="119"/>
      <c r="AE218" s="117"/>
      <c r="AF218" s="117"/>
      <c r="AG218" s="117"/>
      <c r="AH218" s="117"/>
      <c r="AI218" s="117"/>
      <c r="AJ218" s="117"/>
      <c r="AK218" s="117"/>
      <c r="AL218" s="117"/>
      <c r="AM218" s="117"/>
      <c r="AN218" s="117"/>
      <c r="AO218" s="120"/>
    </row>
    <row r="219" spans="1:41" s="121" customFormat="1" x14ac:dyDescent="0.3">
      <c r="A219" s="87"/>
      <c r="B219" s="87"/>
      <c r="C219" s="87"/>
      <c r="D219" s="87"/>
      <c r="E219" s="87"/>
      <c r="F219" s="87"/>
      <c r="G219" s="88"/>
      <c r="H219" s="117"/>
      <c r="O219" s="119"/>
      <c r="P219" s="117"/>
      <c r="Q219" s="117"/>
      <c r="R219" s="117"/>
      <c r="S219" s="117"/>
      <c r="T219" s="117"/>
      <c r="U219" s="147">
        <v>0.89</v>
      </c>
      <c r="V219" s="117"/>
      <c r="W219" s="117"/>
      <c r="X219" s="117"/>
      <c r="Y219" s="117"/>
      <c r="Z219" s="117"/>
      <c r="AA219" s="117"/>
      <c r="AC219" s="117"/>
      <c r="AD219" s="119"/>
      <c r="AE219" s="117"/>
      <c r="AF219" s="117"/>
      <c r="AG219" s="117"/>
      <c r="AH219" s="117"/>
      <c r="AI219" s="117"/>
      <c r="AJ219" s="117"/>
      <c r="AK219" s="117"/>
      <c r="AL219" s="117"/>
      <c r="AM219" s="117"/>
      <c r="AN219" s="117"/>
      <c r="AO219" s="120"/>
    </row>
    <row r="220" spans="1:41" s="121" customFormat="1" x14ac:dyDescent="0.3">
      <c r="A220" s="87"/>
      <c r="B220" s="87"/>
      <c r="C220" s="87"/>
      <c r="D220" s="87"/>
      <c r="E220" s="87"/>
      <c r="F220" s="87"/>
      <c r="G220" s="88"/>
      <c r="H220" s="117"/>
      <c r="O220" s="119"/>
      <c r="P220" s="117"/>
      <c r="Q220" s="117"/>
      <c r="R220" s="117"/>
      <c r="S220" s="117"/>
      <c r="T220" s="117"/>
      <c r="U220" s="147">
        <v>0.9</v>
      </c>
      <c r="V220" s="117"/>
      <c r="W220" s="117"/>
      <c r="X220" s="117"/>
      <c r="Y220" s="117"/>
      <c r="Z220" s="117"/>
      <c r="AA220" s="117"/>
      <c r="AC220" s="117"/>
      <c r="AD220" s="119"/>
      <c r="AE220" s="117"/>
      <c r="AF220" s="117"/>
      <c r="AG220" s="117"/>
      <c r="AH220" s="117"/>
      <c r="AI220" s="117"/>
      <c r="AJ220" s="117"/>
      <c r="AK220" s="117"/>
      <c r="AL220" s="117"/>
      <c r="AM220" s="117"/>
      <c r="AN220" s="117"/>
      <c r="AO220" s="120"/>
    </row>
    <row r="221" spans="1:41" s="121" customFormat="1" x14ac:dyDescent="0.3">
      <c r="A221" s="87"/>
      <c r="B221" s="87"/>
      <c r="C221" s="87"/>
      <c r="D221" s="87"/>
      <c r="E221" s="87"/>
      <c r="F221" s="87"/>
      <c r="G221" s="88"/>
      <c r="H221" s="117"/>
      <c r="O221" s="119"/>
      <c r="P221" s="117"/>
      <c r="Q221" s="117"/>
      <c r="R221" s="117"/>
      <c r="S221" s="117"/>
      <c r="T221" s="117"/>
      <c r="U221" s="147">
        <v>0.91</v>
      </c>
      <c r="V221" s="117"/>
      <c r="W221" s="117"/>
      <c r="X221" s="117"/>
      <c r="Y221" s="117"/>
      <c r="Z221" s="117"/>
      <c r="AA221" s="117"/>
      <c r="AC221" s="117"/>
      <c r="AD221" s="119"/>
      <c r="AE221" s="117"/>
      <c r="AF221" s="117"/>
      <c r="AG221" s="117"/>
      <c r="AH221" s="117"/>
      <c r="AI221" s="117"/>
      <c r="AJ221" s="117"/>
      <c r="AK221" s="117"/>
      <c r="AL221" s="117"/>
      <c r="AM221" s="117"/>
      <c r="AN221" s="117"/>
      <c r="AO221" s="120"/>
    </row>
    <row r="222" spans="1:41" s="121" customFormat="1" x14ac:dyDescent="0.3">
      <c r="A222" s="87"/>
      <c r="B222" s="87"/>
      <c r="C222" s="87"/>
      <c r="D222" s="87"/>
      <c r="E222" s="87"/>
      <c r="F222" s="87"/>
      <c r="G222" s="88"/>
      <c r="H222" s="117"/>
      <c r="O222" s="119"/>
      <c r="P222" s="117"/>
      <c r="Q222" s="117"/>
      <c r="R222" s="117"/>
      <c r="S222" s="117"/>
      <c r="T222" s="117"/>
      <c r="U222" s="147">
        <v>0.92</v>
      </c>
      <c r="V222" s="117"/>
      <c r="W222" s="117"/>
      <c r="X222" s="117"/>
      <c r="Y222" s="117"/>
      <c r="Z222" s="117"/>
      <c r="AA222" s="117"/>
      <c r="AC222" s="117"/>
      <c r="AD222" s="119"/>
      <c r="AE222" s="117"/>
      <c r="AF222" s="117"/>
      <c r="AG222" s="117"/>
      <c r="AH222" s="117"/>
      <c r="AI222" s="117"/>
      <c r="AJ222" s="117"/>
      <c r="AK222" s="117"/>
      <c r="AL222" s="117"/>
      <c r="AM222" s="117"/>
      <c r="AN222" s="117"/>
      <c r="AO222" s="120"/>
    </row>
    <row r="223" spans="1:41" s="121" customFormat="1" x14ac:dyDescent="0.3">
      <c r="A223" s="87"/>
      <c r="B223" s="87"/>
      <c r="C223" s="87"/>
      <c r="D223" s="87"/>
      <c r="E223" s="87"/>
      <c r="F223" s="87"/>
      <c r="G223" s="88"/>
      <c r="H223" s="117"/>
      <c r="O223" s="119"/>
      <c r="P223" s="117"/>
      <c r="Q223" s="117"/>
      <c r="R223" s="117"/>
      <c r="S223" s="117"/>
      <c r="T223" s="117"/>
      <c r="U223" s="147">
        <v>0.93</v>
      </c>
      <c r="V223" s="117"/>
      <c r="W223" s="117"/>
      <c r="X223" s="117"/>
      <c r="Y223" s="117"/>
      <c r="Z223" s="117"/>
      <c r="AA223" s="117"/>
      <c r="AC223" s="117"/>
      <c r="AD223" s="119"/>
      <c r="AE223" s="117"/>
      <c r="AF223" s="117"/>
      <c r="AG223" s="117"/>
      <c r="AH223" s="117"/>
      <c r="AI223" s="117"/>
      <c r="AJ223" s="117"/>
      <c r="AK223" s="117"/>
      <c r="AL223" s="117"/>
      <c r="AM223" s="117"/>
      <c r="AN223" s="117"/>
      <c r="AO223" s="120"/>
    </row>
    <row r="224" spans="1:41" s="121" customFormat="1" x14ac:dyDescent="0.3">
      <c r="A224" s="87"/>
      <c r="B224" s="87"/>
      <c r="C224" s="87"/>
      <c r="D224" s="87"/>
      <c r="E224" s="87"/>
      <c r="F224" s="87"/>
      <c r="G224" s="88"/>
      <c r="H224" s="117"/>
      <c r="O224" s="119"/>
      <c r="P224" s="117"/>
      <c r="Q224" s="117"/>
      <c r="R224" s="117"/>
      <c r="S224" s="117"/>
      <c r="T224" s="117"/>
      <c r="U224" s="147">
        <v>0.94</v>
      </c>
      <c r="V224" s="117"/>
      <c r="W224" s="117"/>
      <c r="X224" s="117"/>
      <c r="Y224" s="117"/>
      <c r="Z224" s="117"/>
      <c r="AA224" s="117"/>
      <c r="AC224" s="117"/>
      <c r="AD224" s="119"/>
      <c r="AE224" s="117"/>
      <c r="AF224" s="117"/>
      <c r="AG224" s="117"/>
      <c r="AH224" s="117"/>
      <c r="AI224" s="117"/>
      <c r="AJ224" s="117"/>
      <c r="AK224" s="117"/>
      <c r="AL224" s="117"/>
      <c r="AM224" s="117"/>
      <c r="AN224" s="117"/>
      <c r="AO224" s="120"/>
    </row>
    <row r="225" spans="1:41" s="121" customFormat="1" x14ac:dyDescent="0.3">
      <c r="A225" s="87"/>
      <c r="B225" s="87"/>
      <c r="C225" s="87"/>
      <c r="D225" s="87"/>
      <c r="E225" s="87"/>
      <c r="F225" s="87"/>
      <c r="G225" s="88"/>
      <c r="H225" s="117"/>
      <c r="O225" s="119"/>
      <c r="P225" s="117"/>
      <c r="Q225" s="117"/>
      <c r="R225" s="117"/>
      <c r="S225" s="117"/>
      <c r="T225" s="117"/>
      <c r="U225" s="147">
        <v>0.95</v>
      </c>
      <c r="V225" s="117"/>
      <c r="W225" s="117"/>
      <c r="X225" s="117"/>
      <c r="Y225" s="117"/>
      <c r="Z225" s="117"/>
      <c r="AA225" s="117"/>
      <c r="AC225" s="117"/>
      <c r="AD225" s="119"/>
      <c r="AE225" s="117"/>
      <c r="AF225" s="117"/>
      <c r="AG225" s="117"/>
      <c r="AH225" s="117"/>
      <c r="AI225" s="117"/>
      <c r="AJ225" s="117"/>
      <c r="AK225" s="117"/>
      <c r="AL225" s="117"/>
      <c r="AM225" s="117"/>
      <c r="AN225" s="117"/>
      <c r="AO225" s="120"/>
    </row>
    <row r="226" spans="1:41" s="121" customFormat="1" x14ac:dyDescent="0.3">
      <c r="A226" s="87"/>
      <c r="B226" s="87"/>
      <c r="C226" s="87"/>
      <c r="D226" s="87"/>
      <c r="E226" s="87"/>
      <c r="F226" s="87"/>
      <c r="G226" s="88"/>
      <c r="H226" s="117"/>
      <c r="O226" s="119"/>
      <c r="P226" s="117"/>
      <c r="Q226" s="117"/>
      <c r="R226" s="117"/>
      <c r="S226" s="117"/>
      <c r="T226" s="117"/>
      <c r="U226" s="147">
        <v>0.96</v>
      </c>
      <c r="V226" s="117"/>
      <c r="W226" s="117"/>
      <c r="X226" s="117"/>
      <c r="Y226" s="117"/>
      <c r="Z226" s="117"/>
      <c r="AA226" s="117"/>
      <c r="AC226" s="117"/>
      <c r="AD226" s="119"/>
      <c r="AE226" s="117"/>
      <c r="AF226" s="117"/>
      <c r="AG226" s="117"/>
      <c r="AH226" s="117"/>
      <c r="AI226" s="117"/>
      <c r="AJ226" s="117"/>
      <c r="AK226" s="117"/>
      <c r="AL226" s="117"/>
      <c r="AM226" s="117"/>
      <c r="AN226" s="117"/>
      <c r="AO226" s="120"/>
    </row>
    <row r="227" spans="1:41" s="121" customFormat="1" x14ac:dyDescent="0.3">
      <c r="A227" s="87"/>
      <c r="B227" s="87"/>
      <c r="C227" s="87"/>
      <c r="D227" s="87"/>
      <c r="E227" s="87"/>
      <c r="F227" s="87"/>
      <c r="G227" s="88"/>
      <c r="H227" s="117"/>
      <c r="O227" s="119"/>
      <c r="P227" s="117"/>
      <c r="Q227" s="117"/>
      <c r="R227" s="117"/>
      <c r="S227" s="117"/>
      <c r="T227" s="117"/>
      <c r="U227" s="147">
        <v>0.97</v>
      </c>
      <c r="V227" s="117"/>
      <c r="W227" s="117"/>
      <c r="X227" s="117"/>
      <c r="Y227" s="117"/>
      <c r="Z227" s="117"/>
      <c r="AA227" s="117"/>
      <c r="AC227" s="117"/>
      <c r="AD227" s="119"/>
      <c r="AE227" s="117"/>
      <c r="AF227" s="117"/>
      <c r="AG227" s="117"/>
      <c r="AH227" s="117"/>
      <c r="AI227" s="117"/>
      <c r="AJ227" s="117"/>
      <c r="AK227" s="117"/>
      <c r="AL227" s="117"/>
      <c r="AM227" s="117"/>
      <c r="AN227" s="117"/>
      <c r="AO227" s="120"/>
    </row>
    <row r="228" spans="1:41" s="121" customFormat="1" x14ac:dyDescent="0.3">
      <c r="A228" s="87"/>
      <c r="B228" s="87"/>
      <c r="C228" s="87"/>
      <c r="D228" s="87"/>
      <c r="E228" s="87"/>
      <c r="F228" s="87"/>
      <c r="G228" s="88"/>
      <c r="H228" s="117"/>
      <c r="O228" s="119"/>
      <c r="P228" s="117"/>
      <c r="Q228" s="117"/>
      <c r="R228" s="117"/>
      <c r="S228" s="117"/>
      <c r="T228" s="117"/>
      <c r="U228" s="147">
        <v>0.98</v>
      </c>
      <c r="V228" s="117"/>
      <c r="W228" s="117"/>
      <c r="X228" s="117"/>
      <c r="Y228" s="117"/>
      <c r="Z228" s="117"/>
      <c r="AA228" s="117"/>
      <c r="AC228" s="117"/>
      <c r="AD228" s="119"/>
      <c r="AE228" s="117"/>
      <c r="AF228" s="117"/>
      <c r="AG228" s="117"/>
      <c r="AH228" s="117"/>
      <c r="AI228" s="117"/>
      <c r="AJ228" s="117"/>
      <c r="AK228" s="117"/>
      <c r="AL228" s="117"/>
      <c r="AM228" s="117"/>
      <c r="AN228" s="117"/>
      <c r="AO228" s="120"/>
    </row>
    <row r="229" spans="1:41" s="121" customFormat="1" x14ac:dyDescent="0.3">
      <c r="A229" s="87"/>
      <c r="B229" s="87"/>
      <c r="C229" s="87"/>
      <c r="D229" s="87"/>
      <c r="E229" s="87"/>
      <c r="F229" s="87"/>
      <c r="G229" s="88"/>
      <c r="H229" s="117"/>
      <c r="O229" s="119"/>
      <c r="P229" s="117"/>
      <c r="Q229" s="117"/>
      <c r="R229" s="117"/>
      <c r="S229" s="117"/>
      <c r="T229" s="117"/>
      <c r="U229" s="147">
        <v>0.99</v>
      </c>
      <c r="V229" s="117"/>
      <c r="W229" s="117"/>
      <c r="X229" s="117"/>
      <c r="Y229" s="117"/>
      <c r="Z229" s="117"/>
      <c r="AA229" s="117"/>
      <c r="AC229" s="117"/>
      <c r="AD229" s="119"/>
      <c r="AE229" s="117"/>
      <c r="AF229" s="117"/>
      <c r="AG229" s="117"/>
      <c r="AH229" s="117"/>
      <c r="AI229" s="117"/>
      <c r="AJ229" s="117"/>
      <c r="AK229" s="117"/>
      <c r="AL229" s="117"/>
      <c r="AM229" s="117"/>
      <c r="AN229" s="117"/>
      <c r="AO229" s="120"/>
    </row>
    <row r="230" spans="1:41" s="121" customFormat="1" x14ac:dyDescent="0.3">
      <c r="A230" s="87"/>
      <c r="B230" s="87"/>
      <c r="C230" s="87"/>
      <c r="D230" s="87"/>
      <c r="E230" s="87"/>
      <c r="F230" s="87"/>
      <c r="G230" s="88"/>
      <c r="H230" s="117"/>
      <c r="O230" s="119"/>
      <c r="P230" s="117"/>
      <c r="Q230" s="117"/>
      <c r="R230" s="117"/>
      <c r="S230" s="117"/>
      <c r="T230" s="117"/>
      <c r="U230" s="147">
        <v>1</v>
      </c>
      <c r="V230" s="117"/>
      <c r="W230" s="117"/>
      <c r="X230" s="117"/>
      <c r="Y230" s="117"/>
      <c r="Z230" s="117"/>
      <c r="AA230" s="117"/>
      <c r="AC230" s="117"/>
      <c r="AD230" s="119"/>
      <c r="AE230" s="117"/>
      <c r="AF230" s="117"/>
      <c r="AG230" s="117"/>
      <c r="AH230" s="117"/>
      <c r="AI230" s="117"/>
      <c r="AJ230" s="117"/>
      <c r="AK230" s="117"/>
      <c r="AL230" s="117"/>
      <c r="AM230" s="117"/>
      <c r="AN230" s="117"/>
      <c r="AO230" s="120"/>
    </row>
    <row r="231" spans="1:41" s="121" customFormat="1" x14ac:dyDescent="0.3">
      <c r="A231" s="87"/>
      <c r="B231" s="87"/>
      <c r="C231" s="87"/>
      <c r="D231" s="87"/>
      <c r="E231" s="87"/>
      <c r="F231" s="87"/>
      <c r="G231" s="88"/>
      <c r="H231" s="117"/>
      <c r="O231" s="119"/>
      <c r="P231" s="117"/>
      <c r="Q231" s="117"/>
      <c r="R231" s="117"/>
      <c r="S231" s="117"/>
      <c r="T231" s="117"/>
      <c r="U231" s="117"/>
      <c r="V231" s="117"/>
      <c r="W231" s="117"/>
      <c r="X231" s="117"/>
      <c r="Y231" s="117"/>
      <c r="Z231" s="117"/>
      <c r="AA231" s="117"/>
      <c r="AC231" s="117"/>
      <c r="AD231" s="119"/>
      <c r="AE231" s="117"/>
      <c r="AF231" s="117"/>
      <c r="AG231" s="117"/>
      <c r="AH231" s="117"/>
      <c r="AI231" s="117"/>
      <c r="AJ231" s="117"/>
      <c r="AK231" s="117"/>
      <c r="AL231" s="117"/>
      <c r="AM231" s="117"/>
      <c r="AN231" s="117"/>
      <c r="AO231" s="120"/>
    </row>
    <row r="232" spans="1:41" s="121" customFormat="1" x14ac:dyDescent="0.3">
      <c r="A232" s="87"/>
      <c r="B232" s="87"/>
      <c r="C232" s="87"/>
      <c r="D232" s="87"/>
      <c r="E232" s="87"/>
      <c r="F232" s="87"/>
      <c r="G232" s="88"/>
      <c r="H232" s="117"/>
      <c r="O232" s="119"/>
      <c r="P232" s="117"/>
      <c r="Q232" s="117"/>
      <c r="R232" s="117"/>
      <c r="S232" s="117"/>
      <c r="T232" s="117"/>
      <c r="U232" s="117"/>
      <c r="V232" s="117"/>
      <c r="W232" s="117"/>
      <c r="X232" s="117"/>
      <c r="Y232" s="117"/>
      <c r="Z232" s="117"/>
      <c r="AA232" s="117"/>
      <c r="AC232" s="117"/>
      <c r="AD232" s="119"/>
      <c r="AE232" s="117"/>
      <c r="AF232" s="117"/>
      <c r="AG232" s="117"/>
      <c r="AH232" s="117"/>
      <c r="AI232" s="117"/>
      <c r="AJ232" s="117"/>
      <c r="AK232" s="117"/>
      <c r="AL232" s="117"/>
      <c r="AM232" s="117"/>
      <c r="AN232" s="117"/>
      <c r="AO232" s="120"/>
    </row>
    <row r="233" spans="1:41" s="121" customFormat="1" x14ac:dyDescent="0.3">
      <c r="A233" s="87"/>
      <c r="B233" s="87"/>
      <c r="C233" s="87"/>
      <c r="D233" s="87"/>
      <c r="E233" s="87"/>
      <c r="F233" s="87"/>
      <c r="G233" s="88"/>
      <c r="H233" s="117"/>
      <c r="O233" s="119"/>
      <c r="P233" s="117"/>
      <c r="Q233" s="117"/>
      <c r="R233" s="117"/>
      <c r="S233" s="117"/>
      <c r="T233" s="117"/>
      <c r="U233" s="117"/>
      <c r="V233" s="117"/>
      <c r="W233" s="117"/>
      <c r="X233" s="117"/>
      <c r="Y233" s="117"/>
      <c r="Z233" s="117"/>
      <c r="AA233" s="117"/>
      <c r="AC233" s="117"/>
      <c r="AD233" s="119"/>
      <c r="AE233" s="117"/>
      <c r="AF233" s="117"/>
      <c r="AG233" s="117"/>
      <c r="AH233" s="117"/>
      <c r="AI233" s="117"/>
      <c r="AJ233" s="117"/>
      <c r="AK233" s="117"/>
      <c r="AL233" s="117"/>
      <c r="AM233" s="117"/>
      <c r="AN233" s="117"/>
      <c r="AO233" s="120"/>
    </row>
    <row r="234" spans="1:41" s="121" customFormat="1" x14ac:dyDescent="0.3">
      <c r="A234" s="87"/>
      <c r="B234" s="87"/>
      <c r="C234" s="87"/>
      <c r="D234" s="87"/>
      <c r="E234" s="87"/>
      <c r="F234" s="87"/>
      <c r="G234" s="88"/>
      <c r="H234" s="117"/>
      <c r="O234" s="119"/>
      <c r="P234" s="117"/>
      <c r="Q234" s="117"/>
      <c r="R234" s="117"/>
      <c r="S234" s="117"/>
      <c r="T234" s="117"/>
      <c r="U234" s="117"/>
      <c r="V234" s="117"/>
      <c r="W234" s="117"/>
      <c r="X234" s="117"/>
      <c r="Y234" s="117"/>
      <c r="Z234" s="117"/>
      <c r="AA234" s="117"/>
      <c r="AC234" s="117"/>
      <c r="AD234" s="119"/>
      <c r="AE234" s="117"/>
      <c r="AF234" s="117"/>
      <c r="AG234" s="117"/>
      <c r="AH234" s="117"/>
      <c r="AI234" s="117"/>
      <c r="AJ234" s="117"/>
      <c r="AK234" s="117"/>
      <c r="AL234" s="117"/>
      <c r="AM234" s="117"/>
      <c r="AN234" s="117"/>
      <c r="AO234" s="120"/>
    </row>
    <row r="235" spans="1:41" s="121" customFormat="1" x14ac:dyDescent="0.3">
      <c r="A235" s="87"/>
      <c r="B235" s="87"/>
      <c r="C235" s="87"/>
      <c r="D235" s="87"/>
      <c r="E235" s="87"/>
      <c r="F235" s="87"/>
      <c r="G235" s="88"/>
      <c r="H235" s="117"/>
      <c r="O235" s="119"/>
      <c r="P235" s="117"/>
      <c r="Q235" s="117"/>
      <c r="R235" s="117"/>
      <c r="S235" s="117"/>
      <c r="T235" s="117"/>
      <c r="U235" s="117"/>
      <c r="V235" s="117"/>
      <c r="W235" s="117"/>
      <c r="X235" s="117"/>
      <c r="Y235" s="117"/>
      <c r="Z235" s="117"/>
      <c r="AA235" s="117"/>
      <c r="AC235" s="117"/>
      <c r="AD235" s="119"/>
      <c r="AE235" s="117"/>
      <c r="AF235" s="117"/>
      <c r="AG235" s="117"/>
      <c r="AH235" s="117"/>
      <c r="AI235" s="117"/>
      <c r="AJ235" s="117"/>
      <c r="AK235" s="117"/>
      <c r="AL235" s="117"/>
      <c r="AM235" s="117"/>
      <c r="AN235" s="117"/>
      <c r="AO235" s="120"/>
    </row>
    <row r="236" spans="1:41" s="121" customFormat="1" x14ac:dyDescent="0.3">
      <c r="A236" s="87"/>
      <c r="B236" s="87"/>
      <c r="C236" s="87"/>
      <c r="D236" s="87"/>
      <c r="E236" s="87"/>
      <c r="F236" s="87"/>
      <c r="G236" s="88"/>
      <c r="H236" s="117"/>
      <c r="O236" s="119"/>
      <c r="P236" s="117"/>
      <c r="Q236" s="117"/>
      <c r="R236" s="117"/>
      <c r="S236" s="117"/>
      <c r="T236" s="117"/>
      <c r="U236" s="117"/>
      <c r="V236" s="117"/>
      <c r="W236" s="117"/>
      <c r="X236" s="117"/>
      <c r="Y236" s="117"/>
      <c r="Z236" s="117"/>
      <c r="AA236" s="117"/>
      <c r="AC236" s="117"/>
      <c r="AD236" s="119"/>
      <c r="AE236" s="117"/>
      <c r="AF236" s="117"/>
      <c r="AG236" s="117"/>
      <c r="AH236" s="117"/>
      <c r="AI236" s="117"/>
      <c r="AJ236" s="117"/>
      <c r="AK236" s="117"/>
      <c r="AL236" s="117"/>
      <c r="AM236" s="117"/>
      <c r="AN236" s="117"/>
      <c r="AO236" s="120"/>
    </row>
    <row r="237" spans="1:41" s="121" customFormat="1" x14ac:dyDescent="0.3">
      <c r="A237" s="87"/>
      <c r="B237" s="87"/>
      <c r="C237" s="87"/>
      <c r="D237" s="87"/>
      <c r="E237" s="87"/>
      <c r="F237" s="87"/>
      <c r="G237" s="88"/>
      <c r="H237" s="117"/>
      <c r="O237" s="119"/>
      <c r="P237" s="117"/>
      <c r="Q237" s="117"/>
      <c r="R237" s="117"/>
      <c r="S237" s="117"/>
      <c r="T237" s="117"/>
      <c r="U237" s="117"/>
      <c r="V237" s="117"/>
      <c r="W237" s="117"/>
      <c r="X237" s="117"/>
      <c r="Y237" s="117"/>
      <c r="Z237" s="117"/>
      <c r="AA237" s="117"/>
      <c r="AC237" s="117"/>
      <c r="AD237" s="119"/>
      <c r="AE237" s="117"/>
      <c r="AF237" s="117"/>
      <c r="AG237" s="117"/>
      <c r="AH237" s="117"/>
      <c r="AI237" s="117"/>
      <c r="AJ237" s="117"/>
      <c r="AK237" s="117"/>
      <c r="AL237" s="117"/>
      <c r="AM237" s="117"/>
      <c r="AN237" s="117"/>
      <c r="AO237" s="120"/>
    </row>
    <row r="238" spans="1:41" s="121" customFormat="1" x14ac:dyDescent="0.3">
      <c r="A238" s="87"/>
      <c r="B238" s="87"/>
      <c r="C238" s="87"/>
      <c r="D238" s="87"/>
      <c r="E238" s="87"/>
      <c r="F238" s="87"/>
      <c r="G238" s="88"/>
      <c r="H238" s="117"/>
      <c r="O238" s="119"/>
      <c r="P238" s="117"/>
      <c r="Q238" s="117"/>
      <c r="R238" s="117"/>
      <c r="S238" s="117"/>
      <c r="T238" s="117"/>
      <c r="U238" s="117"/>
      <c r="V238" s="117"/>
      <c r="W238" s="117"/>
      <c r="X238" s="117"/>
      <c r="Y238" s="117"/>
      <c r="Z238" s="117"/>
      <c r="AA238" s="117"/>
      <c r="AC238" s="117"/>
      <c r="AD238" s="119"/>
      <c r="AE238" s="117"/>
      <c r="AF238" s="117"/>
      <c r="AG238" s="117"/>
      <c r="AH238" s="117"/>
      <c r="AI238" s="117"/>
      <c r="AJ238" s="117"/>
      <c r="AK238" s="117"/>
      <c r="AL238" s="117"/>
      <c r="AM238" s="117"/>
      <c r="AN238" s="117"/>
      <c r="AO238" s="120"/>
    </row>
    <row r="239" spans="1:41" s="121" customFormat="1" x14ac:dyDescent="0.3">
      <c r="A239" s="87"/>
      <c r="B239" s="87"/>
      <c r="C239" s="87"/>
      <c r="D239" s="87"/>
      <c r="E239" s="87"/>
      <c r="F239" s="87"/>
      <c r="G239" s="88"/>
      <c r="H239" s="117"/>
      <c r="O239" s="119"/>
      <c r="P239" s="117"/>
      <c r="Q239" s="117"/>
      <c r="R239" s="117"/>
      <c r="S239" s="117"/>
      <c r="T239" s="117"/>
      <c r="U239" s="117"/>
      <c r="V239" s="117"/>
      <c r="W239" s="117"/>
      <c r="X239" s="117"/>
      <c r="Y239" s="117"/>
      <c r="Z239" s="117"/>
      <c r="AA239" s="117"/>
      <c r="AC239" s="117"/>
      <c r="AD239" s="119"/>
      <c r="AE239" s="117"/>
      <c r="AF239" s="117"/>
      <c r="AG239" s="117"/>
      <c r="AH239" s="117"/>
      <c r="AI239" s="117"/>
      <c r="AJ239" s="117"/>
      <c r="AK239" s="117"/>
      <c r="AL239" s="117"/>
      <c r="AM239" s="117"/>
      <c r="AN239" s="117"/>
      <c r="AO239" s="120"/>
    </row>
    <row r="240" spans="1:41" s="121" customFormat="1" x14ac:dyDescent="0.3">
      <c r="A240" s="87"/>
      <c r="B240" s="87"/>
      <c r="C240" s="87"/>
      <c r="D240" s="87"/>
      <c r="E240" s="87"/>
      <c r="F240" s="87"/>
      <c r="G240" s="88"/>
      <c r="H240" s="117"/>
      <c r="O240" s="119"/>
      <c r="P240" s="117"/>
      <c r="Q240" s="117"/>
      <c r="R240" s="117"/>
      <c r="S240" s="117"/>
      <c r="T240" s="117"/>
      <c r="U240" s="117"/>
      <c r="V240" s="117"/>
      <c r="W240" s="117"/>
      <c r="X240" s="117"/>
      <c r="Y240" s="117"/>
      <c r="Z240" s="117"/>
      <c r="AA240" s="117"/>
      <c r="AC240" s="117"/>
      <c r="AD240" s="119"/>
      <c r="AE240" s="117"/>
      <c r="AF240" s="117"/>
      <c r="AG240" s="117"/>
      <c r="AH240" s="117"/>
      <c r="AI240" s="117"/>
      <c r="AJ240" s="117"/>
      <c r="AK240" s="117"/>
      <c r="AL240" s="117"/>
      <c r="AM240" s="117"/>
      <c r="AN240" s="117"/>
      <c r="AO240" s="120"/>
    </row>
    <row r="241" spans="1:41" s="121" customFormat="1" x14ac:dyDescent="0.3">
      <c r="A241" s="87"/>
      <c r="B241" s="87"/>
      <c r="C241" s="87"/>
      <c r="D241" s="87"/>
      <c r="E241" s="87"/>
      <c r="F241" s="87"/>
      <c r="G241" s="88"/>
      <c r="H241" s="117"/>
      <c r="O241" s="119"/>
      <c r="P241" s="117"/>
      <c r="Q241" s="117"/>
      <c r="R241" s="117"/>
      <c r="S241" s="117"/>
      <c r="T241" s="117"/>
      <c r="U241" s="117"/>
      <c r="V241" s="117"/>
      <c r="W241" s="117"/>
      <c r="X241" s="117"/>
      <c r="Y241" s="117"/>
      <c r="AA241" s="117"/>
      <c r="AC241" s="117"/>
      <c r="AD241" s="119"/>
      <c r="AE241" s="117"/>
      <c r="AF241" s="117"/>
      <c r="AG241" s="117"/>
      <c r="AH241" s="117"/>
      <c r="AI241" s="117"/>
      <c r="AJ241" s="117"/>
      <c r="AK241" s="117"/>
      <c r="AL241" s="117"/>
      <c r="AM241" s="117"/>
      <c r="AN241" s="117"/>
      <c r="AO241" s="120"/>
    </row>
    <row r="242" spans="1:41" s="121" customFormat="1" x14ac:dyDescent="0.3">
      <c r="A242" s="87"/>
      <c r="B242" s="87"/>
      <c r="C242" s="87"/>
      <c r="D242" s="87"/>
      <c r="E242" s="87"/>
      <c r="F242" s="87"/>
      <c r="G242" s="88"/>
      <c r="H242" s="117"/>
      <c r="O242" s="119"/>
      <c r="P242" s="117"/>
      <c r="Q242" s="117"/>
      <c r="R242" s="117"/>
      <c r="S242" s="117"/>
      <c r="T242" s="117"/>
      <c r="U242" s="117"/>
      <c r="V242" s="117"/>
      <c r="W242" s="117"/>
      <c r="X242" s="117"/>
      <c r="Y242" s="117"/>
      <c r="AA242" s="117"/>
      <c r="AC242" s="117"/>
      <c r="AD242" s="119"/>
      <c r="AE242" s="117"/>
      <c r="AF242" s="117"/>
      <c r="AG242" s="117"/>
      <c r="AH242" s="117"/>
      <c r="AI242" s="117"/>
      <c r="AJ242" s="117"/>
      <c r="AK242" s="117"/>
      <c r="AL242" s="117"/>
      <c r="AM242" s="117"/>
      <c r="AN242" s="117"/>
      <c r="AO242" s="120"/>
    </row>
    <row r="243" spans="1:41" s="121" customFormat="1" x14ac:dyDescent="0.3">
      <c r="A243" s="87"/>
      <c r="B243" s="87"/>
      <c r="C243" s="87"/>
      <c r="D243" s="87"/>
      <c r="E243" s="87"/>
      <c r="F243" s="87"/>
      <c r="G243" s="88"/>
      <c r="H243" s="117"/>
      <c r="O243" s="119"/>
      <c r="P243" s="117"/>
      <c r="Q243" s="117"/>
      <c r="R243" s="117"/>
      <c r="S243" s="117"/>
      <c r="T243" s="117"/>
      <c r="U243" s="117"/>
      <c r="V243" s="117"/>
      <c r="W243" s="117"/>
      <c r="X243" s="117"/>
      <c r="Y243" s="117"/>
      <c r="AA243" s="117"/>
      <c r="AC243" s="117"/>
      <c r="AD243" s="119"/>
      <c r="AE243" s="117"/>
      <c r="AF243" s="117"/>
      <c r="AG243" s="117"/>
      <c r="AH243" s="117"/>
      <c r="AI243" s="117"/>
      <c r="AJ243" s="117"/>
      <c r="AK243" s="117"/>
      <c r="AL243" s="117"/>
      <c r="AM243" s="117"/>
      <c r="AN243" s="117"/>
      <c r="AO243" s="120"/>
    </row>
    <row r="244" spans="1:41" s="121" customFormat="1" x14ac:dyDescent="0.3">
      <c r="A244" s="87"/>
      <c r="B244" s="87"/>
      <c r="C244" s="87"/>
      <c r="D244" s="87"/>
      <c r="E244" s="87"/>
      <c r="F244" s="87"/>
      <c r="G244" s="88"/>
      <c r="H244" s="117"/>
      <c r="O244" s="119"/>
      <c r="P244" s="117"/>
      <c r="Q244" s="117"/>
      <c r="R244" s="117"/>
      <c r="S244" s="117"/>
      <c r="T244" s="117"/>
      <c r="U244" s="117"/>
      <c r="V244" s="117"/>
      <c r="W244" s="117"/>
      <c r="X244" s="117"/>
      <c r="Y244" s="117"/>
      <c r="AA244" s="117"/>
      <c r="AC244" s="117"/>
      <c r="AD244" s="119"/>
      <c r="AE244" s="117"/>
      <c r="AF244" s="117"/>
      <c r="AG244" s="117"/>
      <c r="AH244" s="117"/>
      <c r="AI244" s="117"/>
      <c r="AJ244" s="117"/>
      <c r="AK244" s="117"/>
      <c r="AL244" s="117"/>
      <c r="AM244" s="117"/>
      <c r="AN244" s="117"/>
      <c r="AO244" s="120"/>
    </row>
    <row r="245" spans="1:41" s="121" customFormat="1" x14ac:dyDescent="0.3">
      <c r="A245" s="87"/>
      <c r="B245" s="87"/>
      <c r="C245" s="87"/>
      <c r="D245" s="87"/>
      <c r="E245" s="87"/>
      <c r="F245" s="87"/>
      <c r="G245" s="88"/>
      <c r="H245" s="117"/>
      <c r="O245" s="119"/>
      <c r="P245" s="117"/>
      <c r="Q245" s="117"/>
      <c r="R245" s="117"/>
      <c r="S245" s="117"/>
      <c r="T245" s="117"/>
      <c r="U245" s="117"/>
      <c r="V245" s="117"/>
      <c r="W245" s="117"/>
      <c r="X245" s="117"/>
      <c r="Y245" s="117"/>
      <c r="AA245" s="117"/>
      <c r="AC245" s="117"/>
      <c r="AD245" s="119"/>
      <c r="AE245" s="117"/>
      <c r="AF245" s="117"/>
      <c r="AG245" s="117"/>
      <c r="AH245" s="117"/>
      <c r="AI245" s="117"/>
      <c r="AJ245" s="117"/>
      <c r="AK245" s="117"/>
      <c r="AL245" s="117"/>
      <c r="AM245" s="117"/>
      <c r="AN245" s="117"/>
      <c r="AO245" s="120"/>
    </row>
    <row r="246" spans="1:41" s="121" customFormat="1" x14ac:dyDescent="0.3">
      <c r="A246" s="87"/>
      <c r="B246" s="87"/>
      <c r="C246" s="87"/>
      <c r="D246" s="87"/>
      <c r="E246" s="87"/>
      <c r="F246" s="87"/>
      <c r="G246" s="88"/>
      <c r="H246" s="117"/>
      <c r="O246" s="119"/>
      <c r="P246" s="117"/>
      <c r="Q246" s="117"/>
      <c r="R246" s="117"/>
      <c r="S246" s="117"/>
      <c r="T246" s="117"/>
      <c r="U246" s="117"/>
      <c r="V246" s="117"/>
      <c r="W246" s="117"/>
      <c r="X246" s="117"/>
      <c r="Y246" s="117"/>
      <c r="AA246" s="117"/>
      <c r="AC246" s="117"/>
      <c r="AD246" s="119"/>
      <c r="AE246" s="117"/>
      <c r="AF246" s="117"/>
      <c r="AG246" s="117"/>
      <c r="AH246" s="117"/>
      <c r="AI246" s="117"/>
      <c r="AJ246" s="117"/>
      <c r="AK246" s="117"/>
      <c r="AL246" s="117"/>
      <c r="AM246" s="117"/>
      <c r="AN246" s="117"/>
      <c r="AO246" s="120"/>
    </row>
    <row r="247" spans="1:41" s="121" customFormat="1" x14ac:dyDescent="0.3">
      <c r="A247" s="87"/>
      <c r="B247" s="87"/>
      <c r="C247" s="87"/>
      <c r="D247" s="87"/>
      <c r="E247" s="87"/>
      <c r="F247" s="87"/>
      <c r="G247" s="88"/>
      <c r="H247" s="117"/>
      <c r="O247" s="119"/>
      <c r="P247" s="117"/>
      <c r="Q247" s="117"/>
      <c r="R247" s="117"/>
      <c r="S247" s="117"/>
      <c r="T247" s="117"/>
      <c r="U247" s="117"/>
      <c r="V247" s="117"/>
      <c r="W247" s="117"/>
      <c r="X247" s="117"/>
      <c r="Y247" s="117"/>
      <c r="AA247" s="117"/>
      <c r="AC247" s="117"/>
      <c r="AD247" s="119"/>
      <c r="AE247" s="117"/>
      <c r="AF247" s="117"/>
      <c r="AG247" s="117"/>
      <c r="AH247" s="117"/>
      <c r="AI247" s="117"/>
      <c r="AJ247" s="117"/>
      <c r="AK247" s="117"/>
      <c r="AL247" s="117"/>
      <c r="AM247" s="117"/>
      <c r="AN247" s="117"/>
      <c r="AO247" s="120"/>
    </row>
    <row r="248" spans="1:41" s="121" customFormat="1" x14ac:dyDescent="0.3">
      <c r="A248" s="87"/>
      <c r="B248" s="87"/>
      <c r="C248" s="87"/>
      <c r="D248" s="87"/>
      <c r="E248" s="87"/>
      <c r="F248" s="87"/>
      <c r="G248" s="88"/>
      <c r="H248" s="117"/>
      <c r="O248" s="119"/>
      <c r="P248" s="117"/>
      <c r="Q248" s="117"/>
      <c r="R248" s="117"/>
      <c r="S248" s="117"/>
      <c r="T248" s="117"/>
      <c r="U248" s="117"/>
      <c r="V248" s="117"/>
      <c r="W248" s="117"/>
      <c r="X248" s="117"/>
      <c r="Y248" s="117"/>
      <c r="AA248" s="117"/>
      <c r="AC248" s="117"/>
      <c r="AD248" s="119"/>
      <c r="AE248" s="117"/>
      <c r="AF248" s="117"/>
      <c r="AG248" s="117"/>
      <c r="AH248" s="117"/>
      <c r="AI248" s="117"/>
      <c r="AJ248" s="117"/>
      <c r="AK248" s="117"/>
      <c r="AL248" s="117"/>
      <c r="AM248" s="117"/>
      <c r="AN248" s="117"/>
      <c r="AO248" s="120"/>
    </row>
    <row r="249" spans="1:41" s="121" customFormat="1" x14ac:dyDescent="0.3">
      <c r="A249" s="87"/>
      <c r="B249" s="87"/>
      <c r="C249" s="87"/>
      <c r="D249" s="87"/>
      <c r="E249" s="87"/>
      <c r="F249" s="87"/>
      <c r="G249" s="88"/>
      <c r="H249" s="117"/>
      <c r="O249" s="119"/>
      <c r="P249" s="117"/>
      <c r="Q249" s="117"/>
      <c r="R249" s="117"/>
      <c r="S249" s="117"/>
      <c r="T249" s="117"/>
      <c r="U249" s="117"/>
      <c r="V249" s="117"/>
      <c r="W249" s="117"/>
      <c r="X249" s="117"/>
      <c r="Y249" s="117"/>
      <c r="AA249" s="117"/>
      <c r="AC249" s="117"/>
      <c r="AD249" s="119"/>
      <c r="AE249" s="117"/>
      <c r="AF249" s="117"/>
      <c r="AG249" s="117"/>
      <c r="AH249" s="117"/>
      <c r="AI249" s="117"/>
      <c r="AJ249" s="117"/>
      <c r="AK249" s="117"/>
      <c r="AL249" s="117"/>
      <c r="AM249" s="117"/>
      <c r="AN249" s="117"/>
      <c r="AO249" s="120"/>
    </row>
    <row r="250" spans="1:41" s="121" customFormat="1" x14ac:dyDescent="0.3">
      <c r="A250" s="87"/>
      <c r="B250" s="87"/>
      <c r="C250" s="87"/>
      <c r="D250" s="87"/>
      <c r="E250" s="87"/>
      <c r="F250" s="87"/>
      <c r="G250" s="88"/>
      <c r="H250" s="117"/>
      <c r="O250" s="119"/>
      <c r="P250" s="117"/>
      <c r="Q250" s="117"/>
      <c r="R250" s="117"/>
      <c r="S250" s="117"/>
      <c r="T250" s="117"/>
      <c r="U250" s="117"/>
      <c r="V250" s="117"/>
      <c r="W250" s="117"/>
      <c r="X250" s="117"/>
      <c r="Y250" s="117"/>
      <c r="AA250" s="117"/>
      <c r="AC250" s="117"/>
      <c r="AD250" s="119"/>
      <c r="AE250" s="117"/>
      <c r="AF250" s="117"/>
      <c r="AG250" s="117"/>
      <c r="AH250" s="117"/>
      <c r="AI250" s="117"/>
      <c r="AJ250" s="117"/>
      <c r="AK250" s="117"/>
      <c r="AL250" s="117"/>
      <c r="AM250" s="117"/>
      <c r="AN250" s="117"/>
      <c r="AO250" s="120"/>
    </row>
    <row r="251" spans="1:41" s="121" customFormat="1" x14ac:dyDescent="0.3">
      <c r="A251" s="87"/>
      <c r="B251" s="87"/>
      <c r="C251" s="87"/>
      <c r="D251" s="87"/>
      <c r="E251" s="87"/>
      <c r="F251" s="87"/>
      <c r="G251" s="88"/>
      <c r="H251" s="117"/>
      <c r="O251" s="119"/>
      <c r="P251" s="117"/>
      <c r="Q251" s="117"/>
      <c r="R251" s="117"/>
      <c r="S251" s="117"/>
      <c r="T251" s="117"/>
      <c r="U251" s="117"/>
      <c r="V251" s="117"/>
      <c r="W251" s="117"/>
      <c r="X251" s="117"/>
      <c r="Y251" s="117"/>
      <c r="AA251" s="117"/>
      <c r="AC251" s="117"/>
      <c r="AD251" s="119"/>
      <c r="AE251" s="117"/>
      <c r="AF251" s="117"/>
      <c r="AG251" s="117"/>
      <c r="AH251" s="117"/>
      <c r="AI251" s="117"/>
      <c r="AJ251" s="117"/>
      <c r="AK251" s="117"/>
      <c r="AL251" s="117"/>
      <c r="AM251" s="117"/>
      <c r="AN251" s="117"/>
      <c r="AO251" s="120"/>
    </row>
    <row r="252" spans="1:41" s="121" customFormat="1" x14ac:dyDescent="0.3">
      <c r="A252" s="87"/>
      <c r="B252" s="87"/>
      <c r="C252" s="87"/>
      <c r="D252" s="87"/>
      <c r="E252" s="87"/>
      <c r="F252" s="87"/>
      <c r="G252" s="88"/>
      <c r="H252" s="117"/>
      <c r="O252" s="119"/>
      <c r="P252" s="117"/>
      <c r="Q252" s="117"/>
      <c r="R252" s="117"/>
      <c r="S252" s="117"/>
      <c r="T252" s="117"/>
      <c r="U252" s="117"/>
      <c r="V252" s="117"/>
      <c r="W252" s="117"/>
      <c r="X252" s="117"/>
      <c r="Y252" s="117"/>
      <c r="AA252" s="117"/>
      <c r="AC252" s="117"/>
      <c r="AD252" s="119"/>
      <c r="AE252" s="117"/>
      <c r="AF252" s="117"/>
      <c r="AG252" s="117"/>
      <c r="AH252" s="117"/>
      <c r="AI252" s="117"/>
      <c r="AJ252" s="117"/>
      <c r="AK252" s="117"/>
      <c r="AL252" s="117"/>
      <c r="AM252" s="117"/>
      <c r="AN252" s="117"/>
      <c r="AO252" s="120"/>
    </row>
    <row r="253" spans="1:41" s="121" customFormat="1" x14ac:dyDescent="0.3">
      <c r="A253" s="87"/>
      <c r="B253" s="87"/>
      <c r="C253" s="87"/>
      <c r="D253" s="87"/>
      <c r="E253" s="87"/>
      <c r="F253" s="87"/>
      <c r="G253" s="88"/>
      <c r="H253" s="117"/>
      <c r="O253" s="119"/>
      <c r="P253" s="117"/>
      <c r="Q253" s="117"/>
      <c r="R253" s="117"/>
      <c r="S253" s="117"/>
      <c r="T253" s="117"/>
      <c r="U253" s="117"/>
      <c r="V253" s="117"/>
      <c r="W253" s="117"/>
      <c r="X253" s="117"/>
      <c r="Y253" s="117"/>
      <c r="AA253" s="117"/>
      <c r="AC253" s="117"/>
      <c r="AD253" s="119"/>
      <c r="AE253" s="117"/>
      <c r="AF253" s="117"/>
      <c r="AG253" s="117"/>
      <c r="AH253" s="117"/>
      <c r="AI253" s="117"/>
      <c r="AJ253" s="117"/>
      <c r="AK253" s="117"/>
      <c r="AL253" s="117"/>
      <c r="AM253" s="117"/>
      <c r="AN253" s="117"/>
      <c r="AO253" s="120"/>
    </row>
    <row r="254" spans="1:41" s="121" customFormat="1" x14ac:dyDescent="0.3">
      <c r="A254" s="87"/>
      <c r="B254" s="87"/>
      <c r="C254" s="87"/>
      <c r="D254" s="87"/>
      <c r="E254" s="87"/>
      <c r="F254" s="87"/>
      <c r="G254" s="88"/>
      <c r="H254" s="117"/>
      <c r="O254" s="119"/>
      <c r="P254" s="117"/>
      <c r="Q254" s="117"/>
      <c r="R254" s="117"/>
      <c r="S254" s="117"/>
      <c r="T254" s="117"/>
      <c r="U254" s="117"/>
      <c r="V254" s="117"/>
      <c r="W254" s="117"/>
      <c r="X254" s="117"/>
      <c r="Y254" s="117"/>
      <c r="AA254" s="117"/>
      <c r="AC254" s="117"/>
      <c r="AD254" s="119"/>
      <c r="AE254" s="117"/>
      <c r="AF254" s="117"/>
      <c r="AG254" s="117"/>
      <c r="AH254" s="117"/>
      <c r="AI254" s="117"/>
      <c r="AJ254" s="117"/>
      <c r="AK254" s="117"/>
      <c r="AL254" s="117"/>
      <c r="AM254" s="117"/>
      <c r="AN254" s="117"/>
      <c r="AO254" s="120"/>
    </row>
    <row r="255" spans="1:41" s="121" customFormat="1" x14ac:dyDescent="0.3">
      <c r="A255" s="87"/>
      <c r="B255" s="87"/>
      <c r="C255" s="87"/>
      <c r="D255" s="87"/>
      <c r="E255" s="87"/>
      <c r="F255" s="87"/>
      <c r="G255" s="88"/>
      <c r="H255" s="117"/>
      <c r="O255" s="119"/>
      <c r="P255" s="117"/>
      <c r="Q255" s="117"/>
      <c r="R255" s="117"/>
      <c r="S255" s="117"/>
      <c r="T255" s="117"/>
      <c r="U255" s="117"/>
      <c r="V255" s="117"/>
      <c r="W255" s="117"/>
      <c r="X255" s="117"/>
      <c r="Y255" s="117"/>
      <c r="AA255" s="117"/>
      <c r="AC255" s="117"/>
      <c r="AD255" s="119"/>
      <c r="AE255" s="117"/>
      <c r="AF255" s="117"/>
      <c r="AG255" s="117"/>
      <c r="AH255" s="117"/>
      <c r="AI255" s="117"/>
      <c r="AJ255" s="117"/>
      <c r="AK255" s="117"/>
      <c r="AL255" s="117"/>
      <c r="AM255" s="117"/>
      <c r="AN255" s="117"/>
      <c r="AO255" s="120"/>
    </row>
    <row r="256" spans="1:41" s="121" customFormat="1" x14ac:dyDescent="0.3">
      <c r="A256" s="87"/>
      <c r="B256" s="87"/>
      <c r="C256" s="87"/>
      <c r="D256" s="87"/>
      <c r="E256" s="87"/>
      <c r="F256" s="87"/>
      <c r="G256" s="88"/>
      <c r="H256" s="117"/>
      <c r="O256" s="119"/>
      <c r="P256" s="117"/>
      <c r="Q256" s="117"/>
      <c r="R256" s="117"/>
      <c r="S256" s="117"/>
      <c r="T256" s="117"/>
      <c r="U256" s="117"/>
      <c r="V256" s="117"/>
      <c r="W256" s="117"/>
      <c r="X256" s="117"/>
      <c r="Y256" s="117"/>
      <c r="AA256" s="117"/>
      <c r="AC256" s="117"/>
      <c r="AD256" s="119"/>
      <c r="AE256" s="117"/>
      <c r="AF256" s="117"/>
      <c r="AG256" s="117"/>
      <c r="AH256" s="117"/>
      <c r="AI256" s="117"/>
      <c r="AJ256" s="117"/>
      <c r="AK256" s="117"/>
      <c r="AL256" s="117"/>
      <c r="AM256" s="117"/>
      <c r="AN256" s="117"/>
      <c r="AO256" s="120"/>
    </row>
    <row r="257" spans="1:41" s="121" customFormat="1" x14ac:dyDescent="0.3">
      <c r="A257" s="87"/>
      <c r="B257" s="87"/>
      <c r="C257" s="87"/>
      <c r="D257" s="87"/>
      <c r="E257" s="87"/>
      <c r="F257" s="87"/>
      <c r="G257" s="88"/>
      <c r="H257" s="117"/>
      <c r="X257" s="117"/>
      <c r="Y257" s="117"/>
      <c r="AA257" s="117"/>
      <c r="AC257" s="117"/>
      <c r="AD257" s="119"/>
      <c r="AE257" s="117"/>
      <c r="AF257" s="117"/>
      <c r="AG257" s="117"/>
      <c r="AH257" s="117"/>
      <c r="AI257" s="117"/>
      <c r="AJ257" s="117"/>
      <c r="AK257" s="117"/>
      <c r="AL257" s="117"/>
      <c r="AM257" s="117"/>
      <c r="AN257" s="117"/>
      <c r="AO257" s="120"/>
    </row>
    <row r="258" spans="1:41" s="121" customFormat="1" x14ac:dyDescent="0.3">
      <c r="A258" s="87"/>
      <c r="B258" s="87"/>
      <c r="C258" s="87"/>
      <c r="D258" s="87"/>
      <c r="E258" s="87"/>
      <c r="F258" s="87"/>
      <c r="G258" s="88"/>
      <c r="H258" s="117"/>
      <c r="X258" s="117"/>
      <c r="Y258" s="117"/>
      <c r="AA258" s="117"/>
      <c r="AC258" s="117"/>
      <c r="AD258" s="119"/>
      <c r="AE258" s="117"/>
      <c r="AF258" s="117"/>
      <c r="AG258" s="117"/>
      <c r="AH258" s="117"/>
      <c r="AI258" s="117"/>
      <c r="AJ258" s="117"/>
      <c r="AK258" s="117"/>
      <c r="AL258" s="117"/>
      <c r="AM258" s="117"/>
      <c r="AN258" s="117"/>
      <c r="AO258" s="120"/>
    </row>
    <row r="259" spans="1:41" s="121" customFormat="1" x14ac:dyDescent="0.3">
      <c r="A259" s="87"/>
      <c r="B259" s="87"/>
      <c r="C259" s="87"/>
      <c r="D259" s="87"/>
      <c r="E259" s="87"/>
      <c r="F259" s="87"/>
      <c r="G259" s="88"/>
      <c r="H259" s="117"/>
      <c r="X259" s="117"/>
      <c r="Y259" s="117"/>
      <c r="AA259" s="117"/>
      <c r="AC259" s="117"/>
      <c r="AD259" s="119"/>
      <c r="AE259" s="117"/>
      <c r="AF259" s="117"/>
      <c r="AG259" s="117"/>
      <c r="AH259" s="117"/>
      <c r="AI259" s="117"/>
      <c r="AJ259" s="117"/>
      <c r="AK259" s="117"/>
      <c r="AL259" s="117"/>
      <c r="AM259" s="117"/>
      <c r="AN259" s="117"/>
      <c r="AO259" s="120"/>
    </row>
    <row r="260" spans="1:41" s="121" customFormat="1" x14ac:dyDescent="0.3">
      <c r="A260" s="87"/>
      <c r="B260" s="87"/>
      <c r="C260" s="87"/>
      <c r="D260" s="87"/>
      <c r="E260" s="87"/>
      <c r="F260" s="87"/>
      <c r="G260" s="88"/>
      <c r="H260" s="117"/>
      <c r="X260" s="117"/>
      <c r="Y260" s="117"/>
      <c r="AA260" s="117"/>
      <c r="AC260" s="117"/>
      <c r="AD260" s="119"/>
      <c r="AE260" s="117"/>
      <c r="AF260" s="117"/>
      <c r="AG260" s="117"/>
      <c r="AH260" s="117"/>
      <c r="AI260" s="117"/>
      <c r="AJ260" s="117"/>
      <c r="AK260" s="117"/>
      <c r="AL260" s="117"/>
      <c r="AM260" s="117"/>
      <c r="AN260" s="117"/>
      <c r="AO260" s="120"/>
    </row>
    <row r="261" spans="1:41" s="121" customFormat="1" x14ac:dyDescent="0.3">
      <c r="A261" s="87"/>
      <c r="B261" s="87"/>
      <c r="C261" s="87"/>
      <c r="D261" s="87"/>
      <c r="E261" s="87"/>
      <c r="F261" s="87"/>
      <c r="G261" s="88"/>
      <c r="H261" s="117"/>
      <c r="X261" s="117"/>
      <c r="Y261" s="117"/>
      <c r="AA261" s="117"/>
      <c r="AC261" s="117"/>
      <c r="AD261" s="119"/>
      <c r="AE261" s="117"/>
      <c r="AF261" s="117"/>
      <c r="AG261" s="117"/>
      <c r="AH261" s="117"/>
      <c r="AI261" s="117"/>
      <c r="AJ261" s="117"/>
      <c r="AK261" s="117"/>
      <c r="AL261" s="117"/>
      <c r="AM261" s="117"/>
      <c r="AN261" s="117"/>
      <c r="AO261" s="120"/>
    </row>
    <row r="262" spans="1:41" s="121" customFormat="1" x14ac:dyDescent="0.3">
      <c r="A262" s="87"/>
      <c r="B262" s="87"/>
      <c r="C262" s="87"/>
      <c r="D262" s="87"/>
      <c r="E262" s="87"/>
      <c r="F262" s="87"/>
      <c r="G262" s="88"/>
      <c r="H262" s="117"/>
      <c r="AC262" s="117"/>
      <c r="AD262" s="119"/>
      <c r="AE262" s="117"/>
      <c r="AF262" s="117"/>
      <c r="AG262" s="117"/>
      <c r="AH262" s="117"/>
      <c r="AI262" s="117"/>
      <c r="AJ262" s="117"/>
      <c r="AK262" s="117"/>
      <c r="AL262" s="117"/>
      <c r="AM262" s="117"/>
      <c r="AN262" s="117"/>
      <c r="AO262" s="120"/>
    </row>
    <row r="263" spans="1:41" s="121" customFormat="1" x14ac:dyDescent="0.3">
      <c r="A263" s="87"/>
      <c r="B263" s="87"/>
      <c r="C263" s="87"/>
      <c r="D263" s="87"/>
      <c r="E263" s="87"/>
      <c r="F263" s="87"/>
      <c r="G263" s="88"/>
      <c r="H263" s="117"/>
      <c r="AC263" s="117"/>
      <c r="AD263" s="119"/>
      <c r="AE263" s="117"/>
      <c r="AF263" s="117"/>
      <c r="AG263" s="117"/>
      <c r="AH263" s="117"/>
      <c r="AI263" s="117"/>
      <c r="AJ263" s="117"/>
      <c r="AK263" s="117"/>
      <c r="AL263" s="117"/>
      <c r="AM263" s="117"/>
      <c r="AN263" s="117"/>
      <c r="AO263" s="120"/>
    </row>
    <row r="264" spans="1:41" s="121" customFormat="1" x14ac:dyDescent="0.3">
      <c r="A264" s="87"/>
      <c r="B264" s="87"/>
      <c r="C264" s="87"/>
      <c r="D264" s="87"/>
      <c r="E264" s="87"/>
      <c r="F264" s="87"/>
      <c r="G264" s="88"/>
      <c r="H264" s="117"/>
      <c r="AC264" s="117"/>
      <c r="AD264" s="119"/>
      <c r="AE264" s="117"/>
      <c r="AF264" s="117"/>
      <c r="AG264" s="117"/>
      <c r="AH264" s="117"/>
      <c r="AI264" s="117"/>
      <c r="AJ264" s="117"/>
      <c r="AK264" s="117"/>
      <c r="AL264" s="117"/>
      <c r="AM264" s="117"/>
      <c r="AN264" s="117"/>
      <c r="AO264" s="120"/>
    </row>
    <row r="265" spans="1:41" x14ac:dyDescent="0.3">
      <c r="A265" s="87"/>
      <c r="B265" s="87"/>
      <c r="C265" s="87"/>
      <c r="D265" s="87"/>
      <c r="E265" s="87"/>
      <c r="F265" s="87"/>
      <c r="G265" s="88"/>
    </row>
    <row r="266" spans="1:41" x14ac:dyDescent="0.3">
      <c r="A266" s="87"/>
      <c r="B266" s="87"/>
      <c r="C266" s="87"/>
      <c r="D266" s="87"/>
      <c r="E266" s="87"/>
      <c r="F266" s="87"/>
      <c r="G266" s="88"/>
    </row>
    <row r="267" spans="1:41" x14ac:dyDescent="0.3">
      <c r="A267" s="87"/>
      <c r="B267" s="87"/>
      <c r="C267" s="87"/>
      <c r="D267" s="87"/>
      <c r="E267" s="87"/>
      <c r="F267" s="87"/>
      <c r="G267" s="88"/>
    </row>
    <row r="268" spans="1:41" x14ac:dyDescent="0.3">
      <c r="A268" s="87"/>
      <c r="B268" s="87"/>
      <c r="C268" s="87"/>
      <c r="D268" s="87"/>
      <c r="E268" s="87"/>
      <c r="F268" s="87"/>
      <c r="G268" s="88"/>
    </row>
    <row r="269" spans="1:41" x14ac:dyDescent="0.3">
      <c r="A269" s="87"/>
      <c r="B269" s="87"/>
      <c r="C269" s="87"/>
      <c r="D269" s="87"/>
      <c r="E269" s="87"/>
      <c r="F269" s="87"/>
      <c r="G269" s="88"/>
    </row>
    <row r="270" spans="1:41" x14ac:dyDescent="0.3">
      <c r="A270" s="87"/>
      <c r="B270" s="87"/>
      <c r="C270" s="87"/>
      <c r="D270" s="87"/>
      <c r="E270" s="87"/>
      <c r="F270" s="87"/>
      <c r="G270" s="88"/>
    </row>
    <row r="271" spans="1:41" x14ac:dyDescent="0.3">
      <c r="A271" s="87"/>
      <c r="B271" s="87"/>
      <c r="C271" s="87"/>
      <c r="D271" s="87"/>
      <c r="E271" s="87"/>
      <c r="F271" s="87"/>
      <c r="G271" s="88"/>
    </row>
    <row r="272" spans="1:41" x14ac:dyDescent="0.3">
      <c r="A272" s="87"/>
      <c r="B272" s="87"/>
      <c r="C272" s="87"/>
      <c r="D272" s="87"/>
      <c r="E272" s="87"/>
      <c r="F272" s="87"/>
      <c r="G272" s="88"/>
    </row>
    <row r="273" spans="1:7" x14ac:dyDescent="0.3">
      <c r="A273" s="87"/>
      <c r="B273" s="87"/>
      <c r="C273" s="87"/>
      <c r="D273" s="87"/>
      <c r="E273" s="87"/>
      <c r="F273" s="87"/>
      <c r="G273" s="88"/>
    </row>
    <row r="274" spans="1:7" x14ac:dyDescent="0.3">
      <c r="A274" s="87"/>
      <c r="B274" s="87"/>
      <c r="C274" s="87"/>
      <c r="D274" s="87"/>
      <c r="E274" s="87"/>
      <c r="F274" s="87"/>
      <c r="G274" s="88"/>
    </row>
    <row r="275" spans="1:7" x14ac:dyDescent="0.3">
      <c r="A275" s="87"/>
      <c r="B275" s="87"/>
      <c r="C275" s="87"/>
      <c r="D275" s="87"/>
      <c r="E275" s="87"/>
      <c r="F275" s="87"/>
      <c r="G275" s="88"/>
    </row>
    <row r="276" spans="1:7" x14ac:dyDescent="0.3">
      <c r="A276" s="87"/>
      <c r="B276" s="87"/>
      <c r="C276" s="87"/>
      <c r="D276" s="87"/>
      <c r="E276" s="87"/>
      <c r="F276" s="87"/>
      <c r="G276" s="88"/>
    </row>
    <row r="277" spans="1:7" x14ac:dyDescent="0.3">
      <c r="A277" s="87"/>
      <c r="B277" s="87"/>
      <c r="C277" s="87"/>
      <c r="D277" s="87"/>
      <c r="E277" s="87"/>
      <c r="F277" s="87"/>
      <c r="G277" s="88"/>
    </row>
    <row r="278" spans="1:7" x14ac:dyDescent="0.3">
      <c r="A278" s="87"/>
      <c r="B278" s="87"/>
      <c r="C278" s="87"/>
      <c r="D278" s="87"/>
      <c r="E278" s="87"/>
      <c r="F278" s="87"/>
      <c r="G278" s="88"/>
    </row>
    <row r="279" spans="1:7" x14ac:dyDescent="0.3">
      <c r="A279" s="87"/>
      <c r="B279" s="87"/>
      <c r="C279" s="87"/>
      <c r="D279" s="87"/>
      <c r="E279" s="87"/>
      <c r="F279" s="87"/>
      <c r="G279" s="88"/>
    </row>
    <row r="280" spans="1:7" x14ac:dyDescent="0.3">
      <c r="A280" s="87"/>
      <c r="B280" s="87"/>
      <c r="C280" s="87"/>
      <c r="D280" s="87"/>
      <c r="E280" s="87"/>
      <c r="F280" s="87"/>
      <c r="G280" s="88"/>
    </row>
    <row r="281" spans="1:7" x14ac:dyDescent="0.3">
      <c r="A281" s="87"/>
      <c r="B281" s="87"/>
      <c r="C281" s="87"/>
      <c r="D281" s="87"/>
      <c r="E281" s="87"/>
      <c r="F281" s="87"/>
      <c r="G281" s="88"/>
    </row>
    <row r="282" spans="1:7" x14ac:dyDescent="0.3">
      <c r="A282" s="87"/>
      <c r="B282" s="87"/>
      <c r="C282" s="87"/>
      <c r="D282" s="87"/>
      <c r="E282" s="87"/>
      <c r="F282" s="87"/>
      <c r="G282" s="88"/>
    </row>
    <row r="283" spans="1:7" x14ac:dyDescent="0.3">
      <c r="A283" s="87"/>
      <c r="B283" s="87"/>
      <c r="C283" s="87"/>
      <c r="D283" s="87"/>
      <c r="E283" s="87"/>
      <c r="F283" s="87"/>
      <c r="G283" s="88"/>
    </row>
    <row r="284" spans="1:7" x14ac:dyDescent="0.3">
      <c r="A284" s="87"/>
      <c r="B284" s="87"/>
      <c r="C284" s="87"/>
      <c r="D284" s="87"/>
      <c r="E284" s="87"/>
      <c r="F284" s="87"/>
      <c r="G284" s="88"/>
    </row>
    <row r="285" spans="1:7" x14ac:dyDescent="0.3">
      <c r="A285" s="87"/>
      <c r="B285" s="87"/>
      <c r="C285" s="87"/>
      <c r="D285" s="87"/>
      <c r="E285" s="87"/>
      <c r="F285" s="87"/>
      <c r="G285" s="88"/>
    </row>
  </sheetData>
  <sheetProtection algorithmName="SHA-512" hashValue="8eg2COsNwmg1HSzFbFievutMrrQ0LkJk6oiGk60mbBZaBmlsI1fKgRKNvumwNUdiPQRLQvse01wyeKeHP1P3ZQ==" saltValue="IMF4wrAKqbFbD1oacvwhdA==" spinCount="100000" sheet="1" objects="1" scenarios="1"/>
  <mergeCells count="27">
    <mergeCell ref="C6:D6"/>
    <mergeCell ref="C8:D8"/>
    <mergeCell ref="C10:D10"/>
    <mergeCell ref="H62:M65"/>
    <mergeCell ref="H13:M14"/>
    <mergeCell ref="H59:M60"/>
    <mergeCell ref="C12:E12"/>
    <mergeCell ref="C13:E13"/>
    <mergeCell ref="C25:E25"/>
    <mergeCell ref="J11:M12"/>
    <mergeCell ref="H78:M79"/>
    <mergeCell ref="C14:F14"/>
    <mergeCell ref="C21:E21"/>
    <mergeCell ref="H31:M33"/>
    <mergeCell ref="H18:M19"/>
    <mergeCell ref="C19:E19"/>
    <mergeCell ref="C20:E20"/>
    <mergeCell ref="C23:E23"/>
    <mergeCell ref="H23:P23"/>
    <mergeCell ref="C24:E24"/>
    <mergeCell ref="C22:E22"/>
    <mergeCell ref="B40:B41"/>
    <mergeCell ref="H40:M42"/>
    <mergeCell ref="H50:M51"/>
    <mergeCell ref="B34:B35"/>
    <mergeCell ref="B37:B38"/>
    <mergeCell ref="H37:M39"/>
  </mergeCells>
  <conditionalFormatting sqref="B55:B57 D55:D57">
    <cfRule type="expression" dxfId="418" priority="155" stopIfTrue="1">
      <formula>E55="n/a"</formula>
    </cfRule>
    <cfRule type="expression" dxfId="417" priority="156" stopIfTrue="1">
      <formula>$F$23="no"</formula>
    </cfRule>
  </conditionalFormatting>
  <conditionalFormatting sqref="B58">
    <cfRule type="expression" dxfId="416" priority="68" stopIfTrue="1">
      <formula>$F$23="No"</formula>
    </cfRule>
    <cfRule type="expression" dxfId="415" priority="69" stopIfTrue="1">
      <formula>E58="n/a"</formula>
    </cfRule>
  </conditionalFormatting>
  <conditionalFormatting sqref="B59:B60">
    <cfRule type="expression" dxfId="414" priority="41" stopIfTrue="1">
      <formula>$F$23="no"</formula>
    </cfRule>
  </conditionalFormatting>
  <conditionalFormatting sqref="B91">
    <cfRule type="expression" dxfId="413" priority="167" stopIfTrue="1">
      <formula>$G$88=$T$132</formula>
    </cfRule>
  </conditionalFormatting>
  <conditionalFormatting sqref="B52:G53">
    <cfRule type="expression" dxfId="412" priority="23" stopIfTrue="1">
      <formula>$F$22="no"</formula>
    </cfRule>
  </conditionalFormatting>
  <conditionalFormatting sqref="B91:G91">
    <cfRule type="expression" dxfId="411" priority="165" stopIfTrue="1">
      <formula>OR($G$86=$R$133,$G$86=$R$132,$G$86=$R$130,$G$88=$T$130)</formula>
    </cfRule>
  </conditionalFormatting>
  <conditionalFormatting sqref="C13">
    <cfRule type="expression" dxfId="410" priority="499" stopIfTrue="1">
      <formula>$B$13=$S$134</formula>
    </cfRule>
  </conditionalFormatting>
  <conditionalFormatting sqref="C55:C57 G55:G57 C59:C60">
    <cfRule type="expression" dxfId="409" priority="153" stopIfTrue="1">
      <formula>E55="n/a"</formula>
    </cfRule>
    <cfRule type="expression" dxfId="408" priority="154" stopIfTrue="1">
      <formula>$F$23="no"</formula>
    </cfRule>
  </conditionalFormatting>
  <conditionalFormatting sqref="C58">
    <cfRule type="expression" dxfId="407" priority="197" stopIfTrue="1">
      <formula>E58="n/a"</formula>
    </cfRule>
  </conditionalFormatting>
  <conditionalFormatting sqref="C70">
    <cfRule type="expression" dxfId="406" priority="191" stopIfTrue="1">
      <formula>(OR($G$67=$R$133,$G$67=$R$132,$G$67=$R$130))</formula>
    </cfRule>
  </conditionalFormatting>
  <conditionalFormatting sqref="C71:C73">
    <cfRule type="expression" dxfId="405" priority="57" stopIfTrue="1">
      <formula>(OR($G$67=$R$133,$G$67=$R$132,$G$67=$R$130))</formula>
    </cfRule>
  </conditionalFormatting>
  <conditionalFormatting sqref="C75">
    <cfRule type="expression" dxfId="404" priority="141" stopIfTrue="1">
      <formula>$F$23=$R$132</formula>
    </cfRule>
  </conditionalFormatting>
  <conditionalFormatting sqref="C58:D58">
    <cfRule type="expression" dxfId="403" priority="162" stopIfTrue="1">
      <formula>$F$23="No"</formula>
    </cfRule>
  </conditionalFormatting>
  <conditionalFormatting sqref="C73:D73">
    <cfRule type="expression" dxfId="402" priority="87" stopIfTrue="1">
      <formula>$F$22=$R$132</formula>
    </cfRule>
  </conditionalFormatting>
  <conditionalFormatting sqref="C74:D74 D75">
    <cfRule type="expression" dxfId="401" priority="143" stopIfTrue="1">
      <formula>$F$23=$R$132</formula>
    </cfRule>
  </conditionalFormatting>
  <conditionalFormatting sqref="C74:D75">
    <cfRule type="expression" dxfId="400" priority="140" stopIfTrue="1">
      <formula>(OR($G$67=$R$133,$G$67=$R$132,$G$67=$R$130))</formula>
    </cfRule>
  </conditionalFormatting>
  <conditionalFormatting sqref="C14:F14">
    <cfRule type="expression" dxfId="399" priority="75" stopIfTrue="1">
      <formula>$B$13=$S$134</formula>
    </cfRule>
  </conditionalFormatting>
  <conditionalFormatting sqref="C34:G34 B34:B35 C35:D35 C37:G37 B37:B38 C38:D38 C40:G40 B40:B41 C41">
    <cfRule type="expression" dxfId="398" priority="467" stopIfTrue="1">
      <formula>$B$30=$S$132</formula>
    </cfRule>
  </conditionalFormatting>
  <conditionalFormatting sqref="C72:G72">
    <cfRule type="expression" dxfId="397" priority="43" stopIfTrue="1">
      <formula>$F$22=$R$132</formula>
    </cfRule>
  </conditionalFormatting>
  <conditionalFormatting sqref="C79:G79">
    <cfRule type="expression" dxfId="396" priority="49" stopIfTrue="1">
      <formula>(OR($G$67=$R$133,$G$67=$R$132,$G$67=$R$130))</formula>
    </cfRule>
  </conditionalFormatting>
  <conditionalFormatting sqref="C91:G91">
    <cfRule type="expression" dxfId="395" priority="164" stopIfTrue="1">
      <formula>$G$88=$T$132</formula>
    </cfRule>
  </conditionalFormatting>
  <conditionalFormatting sqref="D41">
    <cfRule type="expression" dxfId="394" priority="466" stopIfTrue="1">
      <formula>OR($D$40=$Q$132,$D$40=$Q$130)</formula>
    </cfRule>
  </conditionalFormatting>
  <conditionalFormatting sqref="D58">
    <cfRule type="expression" dxfId="393" priority="161" stopIfTrue="1">
      <formula>E58="n/a"</formula>
    </cfRule>
  </conditionalFormatting>
  <conditionalFormatting sqref="D59:D60">
    <cfRule type="expression" dxfId="392" priority="39" stopIfTrue="1">
      <formula>$F$23="no"</formula>
    </cfRule>
  </conditionalFormatting>
  <conditionalFormatting sqref="D70">
    <cfRule type="expression" dxfId="391" priority="190" stopIfTrue="1">
      <formula>(OR($G$67=$R$133,$G$67=$R$132,$G$67=$R$130))</formula>
    </cfRule>
  </conditionalFormatting>
  <conditionalFormatting sqref="D70:D73">
    <cfRule type="expression" dxfId="390" priority="56" stopIfTrue="1">
      <formula>(OR($G$67=$R$133,$G$67=$R$132,$G$67=$R$130))</formula>
    </cfRule>
  </conditionalFormatting>
  <conditionalFormatting sqref="D103">
    <cfRule type="expression" dxfId="389" priority="479" stopIfTrue="1">
      <formula>B30=S132</formula>
    </cfRule>
    <cfRule type="expression" dxfId="388" priority="480" stopIfTrue="1">
      <formula>AND((OR($G$86=$R$132,$G$86=$R$133,$G$86=$R$130)),(OR($G$67=$R$132,$G$67=$R$133,$G$67=$R$130)))</formula>
    </cfRule>
  </conditionalFormatting>
  <conditionalFormatting sqref="D102:G102">
    <cfRule type="expression" dxfId="387" priority="181" stopIfTrue="1">
      <formula>AND((OR($G$86=$R$132,$G$86=$R$133,$G$86=$R$130)),(OR($G$67=$R$132,$G$67=$R$133,$G$67=$R$130)))</formula>
    </cfRule>
  </conditionalFormatting>
  <conditionalFormatting sqref="E55:E57">
    <cfRule type="expression" dxfId="386" priority="148" stopIfTrue="1">
      <formula>$F$23="no"</formula>
    </cfRule>
    <cfRule type="expression" dxfId="385" priority="147" stopIfTrue="1">
      <formula>#REF!="n/a"</formula>
    </cfRule>
  </conditionalFormatting>
  <conditionalFormatting sqref="E58">
    <cfRule type="expression" dxfId="384" priority="150" stopIfTrue="1">
      <formula>$F$23="No"</formula>
    </cfRule>
    <cfRule type="expression" dxfId="383" priority="149" stopIfTrue="1">
      <formula>E58="n/a"</formula>
    </cfRule>
  </conditionalFormatting>
  <conditionalFormatting sqref="E59:E60">
    <cfRule type="expression" dxfId="382" priority="146" stopIfTrue="1">
      <formula>$F$23="No"</formula>
    </cfRule>
  </conditionalFormatting>
  <conditionalFormatting sqref="E70:E72">
    <cfRule type="expression" dxfId="381" priority="59" stopIfTrue="1">
      <formula>(OR($G$67=$R$133,$G$67=$R$132,$G$67=$R$130))</formula>
    </cfRule>
  </conditionalFormatting>
  <conditionalFormatting sqref="E73:E75">
    <cfRule type="expression" dxfId="380" priority="2" stopIfTrue="1">
      <formula>(OR($G$67=$R$133,$G$67=$R$132,$G$67=$R$130))</formula>
    </cfRule>
    <cfRule type="expression" dxfId="379" priority="1" stopIfTrue="1">
      <formula>$F$22=$R$132</formula>
    </cfRule>
  </conditionalFormatting>
  <conditionalFormatting sqref="E103">
    <cfRule type="expression" dxfId="378" priority="482" stopIfTrue="1">
      <formula>AND((OR($G$86=$R$132,$G$86=$R$133,$G$86=$R$130)),(OR($G$67=$R$132,$G$67=$R$133,$G$67=$R$130)))</formula>
    </cfRule>
    <cfRule type="expression" dxfId="377" priority="481" stopIfTrue="1">
      <formula>B30=S132</formula>
    </cfRule>
  </conditionalFormatting>
  <conditionalFormatting sqref="F13">
    <cfRule type="expression" dxfId="376" priority="77" stopIfTrue="1">
      <formula>$B$13=$S$134</formula>
    </cfRule>
  </conditionalFormatting>
  <conditionalFormatting sqref="F15:F16">
    <cfRule type="expression" dxfId="375" priority="71" stopIfTrue="1">
      <formula>$B$13=$S$134</formula>
    </cfRule>
  </conditionalFormatting>
  <conditionalFormatting sqref="F55:F57">
    <cfRule type="expression" dxfId="374" priority="152" stopIfTrue="1">
      <formula>$F$23="no"</formula>
    </cfRule>
  </conditionalFormatting>
  <conditionalFormatting sqref="F55:F58">
    <cfRule type="expression" dxfId="373" priority="151" stopIfTrue="1">
      <formula>E55="n/a"</formula>
    </cfRule>
  </conditionalFormatting>
  <conditionalFormatting sqref="F70">
    <cfRule type="expression" dxfId="372" priority="83" stopIfTrue="1">
      <formula>E70=$R$132</formula>
    </cfRule>
  </conditionalFormatting>
  <conditionalFormatting sqref="F70:F72">
    <cfRule type="expression" dxfId="371" priority="80" stopIfTrue="1">
      <formula>(OR($G$67=$R$133,$G$67=$R$132,$G$67=$R$130))</formula>
    </cfRule>
  </conditionalFormatting>
  <conditionalFormatting sqref="F71:F72">
    <cfRule type="expression" dxfId="370" priority="78" stopIfTrue="1">
      <formula>E71=$R$132</formula>
    </cfRule>
  </conditionalFormatting>
  <conditionalFormatting sqref="F73">
    <cfRule type="expression" dxfId="369" priority="187" stopIfTrue="1">
      <formula>E73=$R$132</formula>
    </cfRule>
    <cfRule type="expression" dxfId="368" priority="188" stopIfTrue="1">
      <formula>(OR($G$67=$R$133,$G$67=$R$132,$G$67=$R$130))</formula>
    </cfRule>
  </conditionalFormatting>
  <conditionalFormatting sqref="F74:F75">
    <cfRule type="expression" dxfId="367" priority="485" stopIfTrue="1">
      <formula>E74=$R$132</formula>
    </cfRule>
    <cfRule type="expression" dxfId="366" priority="484" stopIfTrue="1">
      <formula>(OR($G$67=$R$133,$G$67=$R$132,$G$67=$R$130))</formula>
    </cfRule>
  </conditionalFormatting>
  <conditionalFormatting sqref="F94">
    <cfRule type="expression" dxfId="365" priority="168" stopIfTrue="1">
      <formula>OR($G$86=$R$133,$G$86=$R$132,$G$86=$R$130,$G$88=$T$130)</formula>
    </cfRule>
    <cfRule type="expression" dxfId="364" priority="169" stopIfTrue="1">
      <formula>$G$88=$T$131</formula>
    </cfRule>
    <cfRule type="expression" dxfId="363" priority="170" stopIfTrue="1">
      <formula>OR($G$86=$R$133,$G$86=$R$132,$G$88=$T$130)</formula>
    </cfRule>
  </conditionalFormatting>
  <conditionalFormatting sqref="F102">
    <cfRule type="expression" dxfId="362" priority="183" stopIfTrue="1">
      <formula>$E$102=$R$132</formula>
    </cfRule>
  </conditionalFormatting>
  <conditionalFormatting sqref="F103">
    <cfRule type="expression" dxfId="361" priority="465" stopIfTrue="1">
      <formula>$E$103=$R$132</formula>
    </cfRule>
    <cfRule type="expression" dxfId="360" priority="464" stopIfTrue="1">
      <formula>AND((OR($G$86=$R$132,$G$86=$R$133,$G$86=$R$130)),(OR($G$67=$R$132,$G$67=$R$133,$G$67=$R$130)))</formula>
    </cfRule>
    <cfRule type="expression" dxfId="359" priority="463" stopIfTrue="1">
      <formula>B30=S132</formula>
    </cfRule>
  </conditionalFormatting>
  <conditionalFormatting sqref="F58:G58">
    <cfRule type="expression" dxfId="358" priority="158" stopIfTrue="1">
      <formula>$F$23="No"</formula>
    </cfRule>
  </conditionalFormatting>
  <conditionalFormatting sqref="F59:G60">
    <cfRule type="expression" dxfId="357" priority="35" stopIfTrue="1">
      <formula>$F$23="no"</formula>
    </cfRule>
  </conditionalFormatting>
  <conditionalFormatting sqref="F73:G73">
    <cfRule type="expression" dxfId="356" priority="84" stopIfTrue="1">
      <formula>$F$22=$R$132</formula>
    </cfRule>
  </conditionalFormatting>
  <conditionalFormatting sqref="F74:G74">
    <cfRule type="expression" dxfId="355" priority="483" stopIfTrue="1">
      <formula>$F$23=$R$132</formula>
    </cfRule>
  </conditionalFormatting>
  <conditionalFormatting sqref="F75:G75">
    <cfRule type="expression" dxfId="354" priority="491" stopIfTrue="1">
      <formula>$F$23=$R$132</formula>
    </cfRule>
  </conditionalFormatting>
  <conditionalFormatting sqref="G13:G16">
    <cfRule type="expression" dxfId="353" priority="70" stopIfTrue="1">
      <formula>$B$13=$S$134</formula>
    </cfRule>
  </conditionalFormatting>
  <conditionalFormatting sqref="G19">
    <cfRule type="expression" dxfId="352" priority="498" stopIfTrue="1">
      <formula>AND(OR($F$19=$R$132,$F$19=$R$130),$G$19&gt;0)</formula>
    </cfRule>
    <cfRule type="expression" dxfId="351" priority="13" stopIfTrue="1">
      <formula>F19=$R$131</formula>
    </cfRule>
  </conditionalFormatting>
  <conditionalFormatting sqref="G20">
    <cfRule type="expression" dxfId="350" priority="18" stopIfTrue="1">
      <formula>AND(OR($F$20=$R$132,$F$20=$R$130),$G$20&gt;0)</formula>
    </cfRule>
    <cfRule type="expression" dxfId="349" priority="12" stopIfTrue="1">
      <formula>F20=$R$131</formula>
    </cfRule>
  </conditionalFormatting>
  <conditionalFormatting sqref="G21">
    <cfRule type="expression" dxfId="348" priority="11" stopIfTrue="1">
      <formula>F21=$R$131</formula>
    </cfRule>
    <cfRule type="expression" dxfId="347" priority="17" stopIfTrue="1">
      <formula>AND(OR($F$21=$R$132,$F$21=$R$130),$G$21&gt;0)</formula>
    </cfRule>
  </conditionalFormatting>
  <conditionalFormatting sqref="G22">
    <cfRule type="expression" dxfId="346" priority="16" stopIfTrue="1">
      <formula>AND(OR($F$22=$R$132,$F$22=$R$130),$G$22&gt;0)</formula>
    </cfRule>
  </conditionalFormatting>
  <conditionalFormatting sqref="G22:G24">
    <cfRule type="expression" dxfId="345" priority="8" stopIfTrue="1">
      <formula>F22=$R$131</formula>
    </cfRule>
  </conditionalFormatting>
  <conditionalFormatting sqref="G23">
    <cfRule type="expression" dxfId="344" priority="15" stopIfTrue="1">
      <formula>AND(OR($F$23=$R$132,$F$23=$R$130),$G$23&gt;0)</formula>
    </cfRule>
  </conditionalFormatting>
  <conditionalFormatting sqref="G24">
    <cfRule type="expression" dxfId="343" priority="14" stopIfTrue="1">
      <formula>AND(OR($F$24=$R$132,$F$24=$R$130),$G$24&gt;0)</formula>
    </cfRule>
  </conditionalFormatting>
  <conditionalFormatting sqref="G25">
    <cfRule type="expression" dxfId="342" priority="7" stopIfTrue="1">
      <formula>F25=$R$131</formula>
    </cfRule>
    <cfRule type="expression" dxfId="341" priority="496" stopIfTrue="1">
      <formula>AND(OR($F$25=$R$132,$F$25=$R$130),$G$25&gt;0)</formula>
    </cfRule>
  </conditionalFormatting>
  <conditionalFormatting sqref="G58">
    <cfRule type="expression" dxfId="340" priority="157" stopIfTrue="1">
      <formula>E58="n/a"</formula>
    </cfRule>
  </conditionalFormatting>
  <conditionalFormatting sqref="G70:G73">
    <cfRule type="expression" dxfId="339" priority="19" stopIfTrue="1">
      <formula>E70=$R$132</formula>
    </cfRule>
  </conditionalFormatting>
  <conditionalFormatting sqref="G70:G74">
    <cfRule type="expression" dxfId="338" priority="54" stopIfTrue="1">
      <formula>(OR($G$67=$R$133,$G$67=$R$132,$G$67=$R$130))</formula>
    </cfRule>
  </conditionalFormatting>
  <conditionalFormatting sqref="G74:G75">
    <cfRule type="expression" dxfId="337" priority="488" stopIfTrue="1">
      <formula>E74=$R$132</formula>
    </cfRule>
  </conditionalFormatting>
  <conditionalFormatting sqref="G75">
    <cfRule type="expression" dxfId="336" priority="494" stopIfTrue="1">
      <formula>(OR($G$67=$R$133,$G$67=$R$132,$G$67=$R$130))</formula>
    </cfRule>
  </conditionalFormatting>
  <conditionalFormatting sqref="G82">
    <cfRule type="expression" dxfId="335" priority="48" stopIfTrue="1">
      <formula>(OR($G$67=$R$133,$G$67=$R$132,$G$67=$R$130))</formula>
    </cfRule>
  </conditionalFormatting>
  <conditionalFormatting sqref="G88">
    <cfRule type="expression" dxfId="334" priority="192" stopIfTrue="1">
      <formula>OR($G$86=$R$133,$G$86=$R$132,$G$86=$R$130)</formula>
    </cfRule>
  </conditionalFormatting>
  <conditionalFormatting sqref="G94">
    <cfRule type="expression" dxfId="333" priority="171" stopIfTrue="1">
      <formula>OR($G$86=$R$133,$G$86=$R$132,$G$88=$T$130)</formula>
    </cfRule>
    <cfRule type="expression" dxfId="332" priority="172" stopIfTrue="1">
      <formula>$G$88=$T$131</formula>
    </cfRule>
    <cfRule type="expression" dxfId="331" priority="173" stopIfTrue="1">
      <formula>OR($G$86=$R$133,$G$86=$R$132,$G$86=$R$130,$G$88=$T$130)</formula>
    </cfRule>
  </conditionalFormatting>
  <conditionalFormatting sqref="G99 G105 D107:G107 D110:F110 G115">
    <cfRule type="expression" dxfId="330" priority="184" stopIfTrue="1">
      <formula>AND((OR($G$86=$R$132,$G$86=$R$133,$G$86=$R$130)),(OR($G$67=$R$132,$G$67=$R$133,$G$67=$R$130)))</formula>
    </cfRule>
  </conditionalFormatting>
  <conditionalFormatting sqref="G102">
    <cfRule type="expression" dxfId="329" priority="180" stopIfTrue="1">
      <formula>$E$102=$R$132</formula>
    </cfRule>
  </conditionalFormatting>
  <conditionalFormatting sqref="G103">
    <cfRule type="expression" dxfId="328" priority="476" stopIfTrue="1">
      <formula>B30=S132</formula>
    </cfRule>
    <cfRule type="expression" dxfId="327" priority="477" stopIfTrue="1">
      <formula>AND((OR($G$86=$R$132,$G$86=$R$133,$G$86=$R$130)),(OR($G$67=$R$132,$G$67=$R$133,$G$67=$R$130)))</formula>
    </cfRule>
    <cfRule type="expression" dxfId="326" priority="478" stopIfTrue="1">
      <formula>$E$103=$R$132</formula>
    </cfRule>
  </conditionalFormatting>
  <conditionalFormatting sqref="G109">
    <cfRule type="expression" dxfId="325" priority="179" stopIfTrue="1">
      <formula>AND((OR($G$86=$R$132,$G$86=$R$133,$G$86=$R$130)),(OR($G$67=$R$132,$G$67=$R$133,$G$67=$R$130)))</formula>
    </cfRule>
    <cfRule type="expression" dxfId="324" priority="178" stopIfTrue="1">
      <formula>OR($G$107=$R$130,$G$107=$R$130)</formula>
    </cfRule>
    <cfRule type="expression" dxfId="323" priority="177" stopIfTrue="1">
      <formula>AND((OR($G$86=$R$132,$G$86=$R$133,$G$86=$R$130)),(OR($G$67=$R$132,$G$67=$R$133,$G$67=$R$130)))</formula>
    </cfRule>
  </conditionalFormatting>
  <conditionalFormatting sqref="G110">
    <cfRule type="expression" dxfId="322" priority="195" stopIfTrue="1">
      <formula>AND((OR($G$86=$R$132,$G$86=$R$133)),(OR($G$67=$R$132,$G$67=$R$133)))</formula>
    </cfRule>
    <cfRule type="expression" dxfId="321" priority="194" stopIfTrue="1">
      <formula>$G$109=0</formula>
    </cfRule>
    <cfRule type="expression" dxfId="320" priority="193" stopIfTrue="1">
      <formula>OR($G$107=$R$132,$G$107=$R$130)</formula>
    </cfRule>
  </conditionalFormatting>
  <conditionalFormatting sqref="G112">
    <cfRule type="expression" dxfId="319" priority="176" stopIfTrue="1">
      <formula>AND((OR($G$86=$R$132,$G$86=$R$133,$G$86=$R$130)),(OR($G$67=$R$132,$G$67=$R$133,$G$67=$R$130)))</formula>
    </cfRule>
    <cfRule type="expression" dxfId="318" priority="174" stopIfTrue="1">
      <formula>AND((OR($G$86=$R$132,$G$86=$R$133,$G$86=$R$130)),(OR($G$67=$R$132,$G$67=$R$133,$G$67=$R$130)))</formula>
    </cfRule>
    <cfRule type="expression" dxfId="317" priority="175" stopIfTrue="1">
      <formula>OR($G$107=$R$130,$G$107=$R$130)</formula>
    </cfRule>
  </conditionalFormatting>
  <dataValidations xWindow="868" yWindow="535" count="24">
    <dataValidation type="list" operator="lessThanOrEqual" allowBlank="1" showInputMessage="1" showErrorMessage="1" sqref="G110" xr:uid="{00000000-0002-0000-0700-000000000000}">
      <formula1>$U$130:$U$230</formula1>
    </dataValidation>
    <dataValidation type="list" showInputMessage="1" showErrorMessage="1" sqref="G107 F19:F25" xr:uid="{00000000-0002-0000-0700-000001000000}">
      <formula1>$R$130:$R$132</formula1>
    </dataValidation>
    <dataValidation type="list" showInputMessage="1" showErrorMessage="1" sqref="E102:E103 E70:E74 E76" xr:uid="{00000000-0002-0000-0700-000002000000}">
      <formula1>$R$131:$R$132</formula1>
    </dataValidation>
    <dataValidation type="list" allowBlank="1" showInputMessage="1" showErrorMessage="1" sqref="F76:F77" xr:uid="{00000000-0002-0000-0700-000003000000}">
      <formula1>$Z$138:$Z$261</formula1>
    </dataValidation>
    <dataValidation allowBlank="1" showInputMessage="1" showErrorMessage="1" prompt="Insert the daily rainfall collected (and therefore used) in litres determined in accordance with BS8515 'Detailed Approach&quot;." sqref="F94" xr:uid="{00000000-0002-0000-0700-000004000000}"/>
    <dataValidation type="list" showInputMessage="1" showErrorMessage="1" sqref="G88" xr:uid="{00000000-0002-0000-0700-000005000000}">
      <formula1>$T$130:$T$132</formula1>
    </dataValidation>
    <dataValidation type="list" showInputMessage="1" showErrorMessage="1" sqref="G86 G67" xr:uid="{00000000-0002-0000-0700-000006000000}">
      <formula1>$R$130:$R$133</formula1>
    </dataValidation>
    <dataValidation allowBlank="1" showInputMessage="1" showErrorMessage="1" prompt="If frequency of yield occurs every day, then state 1, if every 5 days then state 5 etc." sqref="E79" xr:uid="{00000000-0002-0000-0700-000007000000}"/>
    <dataValidation type="list" showInputMessage="1" showErrorMessage="1" prompt="Only include greywater collected from the dishwasher for other uses e.g. toilet flushing/irrigation. Water re-used within the dishwasher i.e. final rinse water used for the pre-wash of the next load should not be counted within this calculation." sqref="E75" xr:uid="{00000000-0002-0000-0700-000008000000}">
      <formula1>$R$131:$R$132</formula1>
    </dataValidation>
    <dataValidation type="list" showInputMessage="1" showErrorMessage="1" prompt="Only include greywater collected from the washing machine for other uses e.g. toilet flushing/irrigation. Water re-used within the washing machine i.e. final rinse water used for the pre-wash of the next load should not be counted within this calculation." sqref="E77" xr:uid="{00000000-0002-0000-0700-000009000000}">
      <formula1>$R$131:$R$132</formula1>
    </dataValidation>
    <dataValidation type="list" allowBlank="1" showInputMessage="1" showErrorMessage="1" sqref="F102:F103 F70:F75" xr:uid="{00000000-0002-0000-0700-00000A000000}">
      <formula1>$U$130:$U$230</formula1>
    </dataValidation>
    <dataValidation allowBlank="1" showInputMessage="1" showErrorMessage="1" prompt="Enter the litres per flush per bowl._x000a__x000a_Important: If component is not specified, leave cell blank i.e. empty of figure." sqref="D37" xr:uid="{00000000-0002-0000-0700-00000B000000}"/>
    <dataValidation type="list" allowBlank="1" showInputMessage="1" showErrorMessage="1" sqref="D40" xr:uid="{00000000-0002-0000-0700-00000C000000}">
      <formula1>$Q$130:$Q$132</formula1>
    </dataValidation>
    <dataValidation type="list" showInputMessage="1" showErrorMessage="1" sqref="B30" xr:uid="{00000000-0002-0000-0700-00000D000000}">
      <formula1>$S$130:$S$132</formula1>
    </dataValidation>
    <dataValidation allowBlank="1" showInputMessage="1" showErrorMessage="1" prompt="Enter the total number of urinal's in the building that are classed as waterless urinals." sqref="D41" xr:uid="{00000000-0002-0000-0700-00000E000000}"/>
    <dataValidation allowBlank="1" showInputMessage="1" showErrorMessage="1" prompt="Enter the total number of urinal's in the building that use this type of flushing control." sqref="D38" xr:uid="{00000000-0002-0000-0700-00000F000000}"/>
    <dataValidation allowBlank="1" showInputMessage="1" showErrorMessage="1" prompt="Enter the total number of urinal's in the building that use this type of flushing control_x000a__x000a_Where a urinal slab is specified, use a default of one urinal for each 700mm width of urinal slab." sqref="D35" xr:uid="{00000000-0002-0000-0700-000010000000}"/>
    <dataValidation allowBlank="1" showInputMessage="1" showErrorMessage="1" prompt="Enter the capacity (in litres) of the cistern specified for supplying water for urinal flushing purposes._x000a__x000a_Important: If component is not specified, leave cell blank i.e. empty of figure." sqref="D34" xr:uid="{00000000-0002-0000-0700-000011000000}"/>
    <dataValidation allowBlank="1" showInputMessage="1" showErrorMessage="1" prompt="Enter the total number of cisterns specified (at specifed capacity) in building." sqref="E34" xr:uid="{00000000-0002-0000-0700-000012000000}"/>
    <dataValidation allowBlank="1" showInputMessage="1" showErrorMessage="1" prompt="Enter the effective flush volume for the WCs specified._x000a__x000a_Important: If component is not specified, leave cell blank i.e. empty of figure._x000a__x000a_Refer to the technical guide for a definition oof effective flush volume and how to calculate it." sqref="D30:D31" xr:uid="{00000000-0002-0000-0700-000013000000}"/>
    <dataValidation allowBlank="1" showInputMessage="1" showErrorMessage="1" prompt="Enter the relevant specification._x000a__x000a_Important: If component is not specified, leave cell blank i.e. empty of figure." sqref="D55:D57 D52:D53 D45:D49" xr:uid="{00000000-0002-0000-0700-000014000000}"/>
    <dataValidation type="list" allowBlank="1" showInputMessage="1" showErrorMessage="1" sqref="B13" xr:uid="{00000000-0002-0000-0700-000015000000}">
      <formula1>$S$134:$S$138</formula1>
    </dataValidation>
    <dataValidation type="list" allowBlank="1" showInputMessage="1" showErrorMessage="1" sqref="G14" xr:uid="{00000000-0002-0000-0700-000016000000}">
      <formula1>$R$130:$R$132</formula1>
    </dataValidation>
    <dataValidation type="list" allowBlank="1" showInputMessage="1" showErrorMessage="1" sqref="C10:D10" xr:uid="{00000000-0002-0000-0700-000017000000}">
      <formula1>$R$122:$R$125</formula1>
    </dataValidation>
  </dataValidations>
  <pageMargins left="0.75" right="0.75" top="1" bottom="1" header="0.5" footer="0.5"/>
  <pageSetup paperSize="9" orientation="portrait" r:id="rId1"/>
  <headerFooter alignWithMargins="0"/>
  <ignoredErrors>
    <ignoredError sqref="F13:G13 C13" evalError="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N282"/>
  <sheetViews>
    <sheetView zoomScale="80" zoomScaleNormal="80" workbookViewId="0">
      <pane ySplit="2" topLeftCell="A118" activePane="bottomLeft" state="frozen"/>
      <selection activeCell="M4" sqref="M4"/>
      <selection pane="bottomLeft" activeCell="F129" sqref="F129"/>
    </sheetView>
  </sheetViews>
  <sheetFormatPr defaultColWidth="9.1796875" defaultRowHeight="13" zeroHeight="1" x14ac:dyDescent="0.3"/>
  <cols>
    <col min="1" max="1" width="5.453125" style="121" customWidth="1"/>
    <col min="2" max="2" width="36.54296875" style="121" customWidth="1"/>
    <col min="3" max="6" width="28.7265625" style="121" customWidth="1"/>
    <col min="7" max="7" width="28.7265625" style="161" customWidth="1"/>
    <col min="8" max="8" width="5.7265625" style="117" customWidth="1"/>
    <col min="9" max="9" width="10.453125" style="121" customWidth="1"/>
    <col min="10" max="10" width="42.453125" style="121" customWidth="1"/>
    <col min="11" max="11" width="31" style="121" customWidth="1"/>
    <col min="12" max="12" width="31" style="121" hidden="1" customWidth="1"/>
    <col min="13" max="13" width="32.26953125" style="121" hidden="1" customWidth="1"/>
    <col min="14" max="14" width="38.26953125" style="121" hidden="1" customWidth="1"/>
    <col min="15" max="15" width="29" style="121" hidden="1" customWidth="1"/>
    <col min="16" max="16" width="31.453125" style="121" hidden="1" customWidth="1"/>
    <col min="17" max="20" width="29" style="121" hidden="1" customWidth="1"/>
    <col min="21" max="21" width="18.81640625" style="121" hidden="1" customWidth="1"/>
    <col min="22" max="22" width="18.7265625" style="121" hidden="1" customWidth="1"/>
    <col min="23" max="27" width="27.26953125" style="121" hidden="1" customWidth="1"/>
    <col min="28" max="28" width="27.26953125" style="117" hidden="1" customWidth="1"/>
    <col min="29" max="29" width="32.1796875" style="119" hidden="1" customWidth="1"/>
    <col min="30" max="30" width="16.54296875" style="117" hidden="1" customWidth="1"/>
    <col min="31" max="31" width="16.54296875" style="117" customWidth="1"/>
    <col min="32" max="32" width="11.26953125" style="117" customWidth="1"/>
    <col min="33" max="39" width="9.1796875" style="117" customWidth="1"/>
    <col min="40" max="40" width="9.1796875" style="120" customWidth="1"/>
    <col min="41" max="41" width="9.1796875" style="117" customWidth="1"/>
    <col min="42" max="16384" width="9.1796875" style="117"/>
  </cols>
  <sheetData>
    <row r="1" spans="1:40" ht="13.15" customHeight="1" x14ac:dyDescent="0.3">
      <c r="A1" s="117"/>
      <c r="B1" s="117"/>
      <c r="C1" s="117"/>
      <c r="D1" s="117"/>
      <c r="E1" s="117"/>
      <c r="F1" s="117"/>
      <c r="G1" s="118"/>
      <c r="I1" s="117"/>
      <c r="J1" s="117"/>
      <c r="K1" s="117"/>
      <c r="L1" s="117"/>
      <c r="M1" s="117"/>
      <c r="N1" s="117"/>
      <c r="O1" s="117"/>
      <c r="P1" s="117"/>
      <c r="Q1" s="117"/>
      <c r="R1" s="117"/>
      <c r="S1" s="117"/>
      <c r="T1" s="117"/>
      <c r="U1" s="117"/>
      <c r="V1" s="117"/>
      <c r="W1" s="117"/>
      <c r="X1" s="117"/>
      <c r="Y1" s="117"/>
      <c r="Z1" s="117"/>
      <c r="AA1" s="117"/>
    </row>
    <row r="2" spans="1:40" ht="36" customHeight="1" x14ac:dyDescent="0.3">
      <c r="A2" s="117"/>
      <c r="B2" s="440" t="s">
        <v>839</v>
      </c>
      <c r="C2" s="416"/>
      <c r="D2" s="416"/>
      <c r="E2" s="416"/>
      <c r="F2" s="416"/>
      <c r="G2" s="416"/>
      <c r="I2" s="117"/>
      <c r="J2" s="117"/>
      <c r="K2" s="117"/>
      <c r="L2" s="117"/>
      <c r="M2" s="117"/>
      <c r="N2" s="117"/>
      <c r="O2" s="117"/>
      <c r="P2" s="117"/>
      <c r="Q2" s="117"/>
      <c r="R2" s="117"/>
      <c r="S2" s="117"/>
      <c r="T2" s="117"/>
      <c r="U2" s="117"/>
      <c r="V2" s="117"/>
      <c r="W2" s="117"/>
      <c r="X2" s="117"/>
      <c r="Y2" s="117"/>
      <c r="Z2" s="117"/>
      <c r="AA2" s="117"/>
    </row>
    <row r="3" spans="1:40" ht="15" customHeight="1" x14ac:dyDescent="0.3">
      <c r="A3" s="117"/>
      <c r="B3" s="117"/>
      <c r="C3" s="117"/>
      <c r="D3" s="117"/>
      <c r="E3" s="117"/>
      <c r="F3" s="117"/>
      <c r="G3" s="117"/>
      <c r="I3" s="117"/>
      <c r="J3" s="117"/>
      <c r="K3" s="117"/>
      <c r="L3" s="117"/>
      <c r="M3" s="117"/>
      <c r="N3" s="117"/>
      <c r="O3" s="117"/>
      <c r="P3" s="117"/>
      <c r="Q3" s="117"/>
      <c r="R3" s="117"/>
      <c r="S3" s="117"/>
      <c r="T3" s="117"/>
      <c r="U3" s="117"/>
      <c r="V3" s="117"/>
      <c r="W3" s="117"/>
      <c r="X3" s="117"/>
      <c r="Y3" s="117"/>
      <c r="Z3" s="117"/>
      <c r="AA3" s="117"/>
    </row>
    <row r="4" spans="1:40" ht="32.15" customHeight="1" x14ac:dyDescent="0.3">
      <c r="A4" s="87"/>
      <c r="B4" s="422" t="s">
        <v>689</v>
      </c>
      <c r="C4" s="422"/>
      <c r="D4" s="422"/>
      <c r="E4" s="422"/>
      <c r="F4" s="422"/>
      <c r="G4" s="422"/>
      <c r="I4" s="517" t="s">
        <v>690</v>
      </c>
      <c r="J4" s="517"/>
      <c r="K4" s="117"/>
      <c r="L4" s="117"/>
      <c r="M4" s="117"/>
      <c r="N4" s="86"/>
      <c r="O4" s="86"/>
      <c r="P4" s="86"/>
      <c r="Q4" s="86"/>
      <c r="R4" s="86"/>
      <c r="S4" s="86"/>
      <c r="T4" s="86"/>
      <c r="U4" s="86"/>
      <c r="V4" s="86"/>
      <c r="W4" s="86"/>
      <c r="X4" s="86"/>
      <c r="Y4" s="86"/>
      <c r="Z4" s="86"/>
      <c r="AA4" s="86"/>
      <c r="AB4" s="86"/>
      <c r="AC4" s="117"/>
      <c r="AN4" s="117"/>
    </row>
    <row r="5" spans="1:40" ht="15" customHeight="1" x14ac:dyDescent="0.3">
      <c r="A5" s="87"/>
      <c r="B5" s="87"/>
      <c r="C5" s="87"/>
      <c r="D5" s="87"/>
      <c r="E5" s="87"/>
      <c r="F5" s="87"/>
      <c r="G5" s="87"/>
      <c r="I5" s="211"/>
      <c r="J5" s="294" t="str">
        <f>'Office calculator'!J5</f>
        <v>Cells that are white with a black border require user input (data entry/option selection)</v>
      </c>
      <c r="K5" s="117"/>
      <c r="L5" s="117"/>
      <c r="M5" s="117"/>
      <c r="N5" s="86"/>
      <c r="O5" s="86"/>
      <c r="P5" s="86"/>
      <c r="Q5" s="86"/>
      <c r="R5" s="86"/>
      <c r="S5" s="86"/>
      <c r="T5" s="86"/>
      <c r="U5" s="86"/>
      <c r="V5" s="86"/>
      <c r="W5" s="86"/>
      <c r="X5" s="86"/>
      <c r="Y5" s="86"/>
      <c r="Z5" s="86"/>
      <c r="AA5" s="86"/>
      <c r="AB5" s="86"/>
      <c r="AC5" s="86"/>
      <c r="AD5" s="86"/>
      <c r="AN5" s="117"/>
    </row>
    <row r="6" spans="1:40" ht="15" customHeight="1" x14ac:dyDescent="0.3">
      <c r="A6" s="87"/>
      <c r="B6" s="434" t="s">
        <v>692</v>
      </c>
      <c r="C6" s="540"/>
      <c r="D6" s="541"/>
      <c r="E6" s="468"/>
      <c r="F6" s="87"/>
      <c r="G6" s="87"/>
      <c r="I6" s="212"/>
      <c r="J6" s="294" t="s">
        <v>693</v>
      </c>
      <c r="K6" s="517"/>
      <c r="L6" s="517"/>
      <c r="M6" s="518"/>
      <c r="N6" s="86"/>
      <c r="O6" s="86"/>
      <c r="P6" s="86"/>
      <c r="Q6" s="86"/>
      <c r="R6" s="86"/>
      <c r="S6" s="86"/>
      <c r="T6" s="86"/>
      <c r="U6" s="86"/>
      <c r="V6" s="86"/>
      <c r="W6" s="86"/>
      <c r="X6" s="86"/>
      <c r="Y6" s="86"/>
      <c r="Z6" s="86"/>
      <c r="AA6" s="86"/>
      <c r="AB6" s="86"/>
      <c r="AC6" s="86"/>
      <c r="AD6" s="86"/>
      <c r="AN6" s="117"/>
    </row>
    <row r="7" spans="1:40" ht="15" customHeight="1" x14ac:dyDescent="0.3">
      <c r="A7" s="87"/>
      <c r="B7" s="87"/>
      <c r="C7" s="87"/>
      <c r="D7" s="87"/>
      <c r="E7" s="87"/>
      <c r="F7" s="87"/>
      <c r="G7" s="87"/>
      <c r="I7" s="213"/>
      <c r="J7" s="294" t="s">
        <v>694</v>
      </c>
      <c r="K7" s="518"/>
      <c r="L7" s="518"/>
      <c r="M7" s="117"/>
      <c r="N7" s="86"/>
      <c r="O7" s="86"/>
      <c r="P7" s="86"/>
      <c r="Q7" s="86"/>
      <c r="R7" s="86"/>
      <c r="S7" s="86"/>
      <c r="T7" s="86"/>
      <c r="U7" s="86"/>
      <c r="V7" s="86"/>
      <c r="W7" s="86"/>
      <c r="X7" s="86"/>
      <c r="Y7" s="86"/>
      <c r="Z7" s="86"/>
      <c r="AA7" s="86"/>
      <c r="AB7" s="86"/>
      <c r="AC7" s="86"/>
      <c r="AD7" s="86"/>
      <c r="AN7" s="117"/>
    </row>
    <row r="8" spans="1:40" ht="15" customHeight="1" x14ac:dyDescent="0.3">
      <c r="A8" s="87"/>
      <c r="B8" s="437" t="s">
        <v>695</v>
      </c>
      <c r="C8" s="542"/>
      <c r="D8" s="543"/>
      <c r="E8" s="470"/>
      <c r="F8" s="87"/>
      <c r="G8" s="87"/>
      <c r="I8" s="292" t="s">
        <v>696</v>
      </c>
      <c r="J8" s="294"/>
      <c r="K8" s="117"/>
      <c r="L8" s="117"/>
      <c r="M8" s="117"/>
      <c r="N8" s="86"/>
      <c r="O8" s="86"/>
      <c r="P8" s="86"/>
      <c r="Q8" s="86"/>
      <c r="R8" s="86"/>
      <c r="S8" s="86"/>
      <c r="T8" s="86"/>
      <c r="U8" s="86"/>
      <c r="V8" s="86"/>
      <c r="W8" s="86"/>
      <c r="X8" s="86"/>
      <c r="Y8" s="86"/>
      <c r="Z8" s="86"/>
      <c r="AA8" s="86"/>
      <c r="AB8" s="86"/>
      <c r="AC8" s="86"/>
      <c r="AD8" s="86"/>
      <c r="AN8" s="117"/>
    </row>
    <row r="9" spans="1:40" ht="15" customHeight="1" x14ac:dyDescent="0.3">
      <c r="A9" s="87"/>
      <c r="B9" s="87"/>
      <c r="C9" s="467"/>
      <c r="D9" s="468"/>
      <c r="E9" s="468"/>
      <c r="F9" s="87"/>
      <c r="G9" s="87"/>
      <c r="I9" s="469"/>
      <c r="J9" s="294"/>
      <c r="K9" s="117"/>
      <c r="L9" s="117"/>
      <c r="M9" s="117"/>
      <c r="N9" s="86"/>
      <c r="O9" s="86"/>
      <c r="P9" s="86"/>
      <c r="Q9" s="86"/>
      <c r="R9" s="86"/>
      <c r="S9" s="86"/>
      <c r="T9" s="86"/>
      <c r="U9" s="86"/>
      <c r="V9" s="86"/>
      <c r="W9" s="86"/>
      <c r="X9" s="86"/>
      <c r="Y9" s="86"/>
      <c r="Z9" s="86"/>
      <c r="AA9" s="86"/>
      <c r="AB9" s="86"/>
      <c r="AC9" s="86"/>
      <c r="AD9" s="86"/>
      <c r="AN9" s="117"/>
    </row>
    <row r="10" spans="1:40" ht="15" customHeight="1" x14ac:dyDescent="0.3">
      <c r="A10" s="87"/>
      <c r="B10" s="466" t="s">
        <v>698</v>
      </c>
      <c r="C10" s="559" t="s">
        <v>699</v>
      </c>
      <c r="D10" s="559"/>
      <c r="E10" s="470"/>
      <c r="F10" s="87"/>
      <c r="G10" s="87"/>
      <c r="I10" s="469"/>
      <c r="J10" s="294"/>
      <c r="K10" s="117"/>
      <c r="L10" s="117"/>
      <c r="M10" s="117"/>
      <c r="N10" s="86"/>
      <c r="O10" s="86"/>
      <c r="P10" s="86"/>
      <c r="Q10" s="86"/>
      <c r="R10" s="86"/>
      <c r="S10" s="86"/>
      <c r="T10" s="86"/>
      <c r="U10" s="86"/>
      <c r="V10" s="86"/>
      <c r="W10" s="86"/>
      <c r="X10" s="86"/>
      <c r="Y10" s="86"/>
      <c r="Z10" s="86"/>
      <c r="AA10" s="86"/>
      <c r="AB10" s="86"/>
      <c r="AC10" s="86"/>
      <c r="AD10" s="86"/>
      <c r="AN10" s="117"/>
    </row>
    <row r="11" spans="1:40" ht="15" customHeight="1" x14ac:dyDescent="0.3">
      <c r="A11" s="87"/>
      <c r="B11" s="109"/>
      <c r="C11" s="109"/>
      <c r="D11" s="87"/>
      <c r="E11" s="87"/>
      <c r="F11" s="87"/>
      <c r="G11" s="88"/>
      <c r="H11" s="87"/>
      <c r="I11" s="87"/>
      <c r="J11" s="545"/>
      <c r="K11" s="545"/>
      <c r="L11" s="545"/>
      <c r="M11" s="545"/>
      <c r="N11" s="117"/>
      <c r="O11" s="117"/>
      <c r="P11" s="117"/>
      <c r="Q11" s="117"/>
      <c r="R11" s="117"/>
      <c r="S11" s="117"/>
      <c r="T11" s="117"/>
      <c r="U11" s="117"/>
      <c r="V11" s="117"/>
      <c r="W11" s="117"/>
      <c r="X11" s="117"/>
      <c r="Y11" s="117"/>
      <c r="Z11" s="117"/>
      <c r="AA11" s="117"/>
    </row>
    <row r="12" spans="1:40" ht="25" customHeight="1" x14ac:dyDescent="0.3">
      <c r="A12" s="87"/>
      <c r="B12" s="441" t="s">
        <v>700</v>
      </c>
      <c r="C12" s="441" t="s">
        <v>701</v>
      </c>
      <c r="D12" s="442"/>
      <c r="E12" s="444" t="s">
        <v>702</v>
      </c>
      <c r="F12" s="445" t="s">
        <v>703</v>
      </c>
      <c r="G12" s="444" t="s">
        <v>704</v>
      </c>
      <c r="H12" s="87"/>
      <c r="I12" s="87"/>
      <c r="J12" s="545"/>
      <c r="K12" s="545"/>
      <c r="L12" s="545"/>
      <c r="M12" s="545"/>
      <c r="N12" s="117"/>
      <c r="O12" s="117"/>
      <c r="P12" s="117"/>
      <c r="Q12" s="117"/>
      <c r="R12" s="117"/>
      <c r="S12" s="117"/>
      <c r="T12" s="117"/>
      <c r="U12" s="117"/>
      <c r="V12" s="117"/>
      <c r="W12" s="122"/>
      <c r="X12" s="122"/>
      <c r="Y12" s="122"/>
      <c r="Z12" s="122"/>
      <c r="AA12" s="122"/>
      <c r="AB12" s="122"/>
      <c r="AC12" s="122"/>
    </row>
    <row r="13" spans="1:40" ht="39.75" customHeight="1" x14ac:dyDescent="0.3">
      <c r="A13" s="293" t="str">
        <f>IF(B13=$Q$129,"&gt;","")</f>
        <v>&gt;</v>
      </c>
      <c r="B13" s="298" t="s">
        <v>699</v>
      </c>
      <c r="C13" s="570" t="e">
        <f>VLOOKUP(B13,'Activity database'!A:B,2,FALSE)</f>
        <v>#N/A</v>
      </c>
      <c r="D13" s="571"/>
      <c r="E13" s="93" t="str">
        <f>IF(ISERROR(O137),Q137,IF(O137=0,Q137,O137))</f>
        <v>Requires building information</v>
      </c>
      <c r="F13" s="90" t="e">
        <f>VLOOKUP(B13,'Activity database'!A:AN,4,FALSE)</f>
        <v>#N/A</v>
      </c>
      <c r="G13" s="90" t="e">
        <f>VLOOKUP(B13,'Activity database'!A:AN,5,FALSE)</f>
        <v>#N/A</v>
      </c>
      <c r="I13" s="117"/>
      <c r="J13" s="117"/>
      <c r="K13" s="117"/>
      <c r="L13" s="117"/>
      <c r="M13" s="117"/>
      <c r="N13" s="117"/>
      <c r="O13" s="117"/>
      <c r="P13" s="117"/>
      <c r="Q13" s="117"/>
      <c r="R13" s="117"/>
      <c r="S13" s="117"/>
      <c r="T13" s="117"/>
      <c r="U13" s="117"/>
      <c r="V13" s="117"/>
      <c r="W13" s="123"/>
      <c r="X13" s="124"/>
      <c r="Y13" s="124"/>
      <c r="Z13" s="124"/>
      <c r="AA13" s="124"/>
      <c r="AB13" s="124"/>
      <c r="AC13" s="124"/>
    </row>
    <row r="14" spans="1:40" ht="30" customHeight="1" x14ac:dyDescent="0.3">
      <c r="A14" s="293" t="str">
        <f>IF(AND(B13=R135,G14=$Q$129),"&gt;","")</f>
        <v/>
      </c>
      <c r="B14" s="87"/>
      <c r="C14" s="172"/>
      <c r="D14" s="173"/>
      <c r="E14" s="173"/>
      <c r="F14" s="107" t="s">
        <v>840</v>
      </c>
      <c r="G14" s="232" t="s">
        <v>699</v>
      </c>
      <c r="H14" s="544" t="str">
        <f>IF(Ind_act=R135,N150,"")</f>
        <v/>
      </c>
      <c r="I14" s="544"/>
      <c r="J14" s="544"/>
      <c r="K14" s="544"/>
      <c r="L14" s="544"/>
      <c r="M14" s="544"/>
      <c r="N14" s="117"/>
      <c r="O14" s="117"/>
      <c r="P14" s="117"/>
      <c r="Q14" s="117"/>
      <c r="R14" s="117"/>
      <c r="S14" s="117"/>
      <c r="T14" s="117"/>
      <c r="U14" s="117"/>
      <c r="V14" s="117"/>
      <c r="W14" s="117"/>
      <c r="Y14" s="117"/>
      <c r="Z14" s="117"/>
      <c r="AA14" s="117"/>
    </row>
    <row r="15" spans="1:40" ht="25" customHeight="1" x14ac:dyDescent="0.3">
      <c r="A15" s="87"/>
      <c r="B15" s="451" t="s">
        <v>705</v>
      </c>
      <c r="C15" s="441" t="s">
        <v>706</v>
      </c>
      <c r="D15" s="442"/>
      <c r="E15" s="443"/>
      <c r="F15" s="444" t="s">
        <v>707</v>
      </c>
      <c r="G15" s="444" t="s">
        <v>708</v>
      </c>
      <c r="H15" s="557" t="str">
        <f>'Office calculator'!H15:O16</f>
        <v>Note: the  activity areas defined opposite are used to estimate the assessed building's default occupancy and therefore water consumption benchmark. These areas are chosen as they are deemed, by in large, to represent the permanently occupied spaces in the building and therefore reflect the number of building occupants/users. As a result it is not necessary to include all areas of the building that may be present, as the areas not defined are assumed to be used by the occupants of the building already accounted for by those areas that are listed.</v>
      </c>
      <c r="I15" s="573"/>
      <c r="J15" s="573"/>
      <c r="K15" s="573"/>
      <c r="L15" s="573"/>
      <c r="M15" s="573"/>
      <c r="N15" s="573"/>
      <c r="O15" s="573"/>
      <c r="P15" s="117"/>
      <c r="Q15" s="117"/>
      <c r="R15" s="117"/>
      <c r="S15" s="117"/>
      <c r="T15" s="117"/>
      <c r="U15" s="117"/>
      <c r="V15" s="117"/>
      <c r="W15" s="117"/>
      <c r="X15" s="87"/>
      <c r="Y15" s="117"/>
      <c r="Z15" s="117"/>
      <c r="AA15" s="117"/>
      <c r="AC15" s="117"/>
      <c r="AN15" s="117"/>
    </row>
    <row r="16" spans="1:40" ht="30" customHeight="1" x14ac:dyDescent="0.3">
      <c r="A16" s="293" t="str">
        <f>IF(F16=$Q$129,"&gt;",IF(AND(F16=$Q$130,G16=""),"&gt;",""))</f>
        <v>&gt;</v>
      </c>
      <c r="B16" s="235" t="str">
        <f>'Activity database'!A11</f>
        <v>Industrial - Process area</v>
      </c>
      <c r="C16" s="546" t="str">
        <f>VLOOKUP(B16,'Activity database'!A:B,2,FALSE)</f>
        <v>Main process based operational/manufacturing/workshop area</v>
      </c>
      <c r="D16" s="546"/>
      <c r="E16" s="546"/>
      <c r="F16" s="218" t="s">
        <v>699</v>
      </c>
      <c r="G16" s="248"/>
      <c r="H16" s="573"/>
      <c r="I16" s="573"/>
      <c r="J16" s="573"/>
      <c r="K16" s="573"/>
      <c r="L16" s="573"/>
      <c r="M16" s="573"/>
      <c r="N16" s="573"/>
      <c r="O16" s="573"/>
      <c r="P16" s="117"/>
      <c r="Q16" s="117"/>
      <c r="R16" s="117"/>
      <c r="S16" s="117"/>
      <c r="T16" s="117"/>
      <c r="U16" s="117"/>
      <c r="V16" s="117"/>
      <c r="W16" s="117"/>
      <c r="X16" s="87"/>
      <c r="Y16" s="117"/>
      <c r="Z16" s="117"/>
      <c r="AA16" s="117"/>
      <c r="AC16" s="117"/>
      <c r="AN16" s="117"/>
    </row>
    <row r="17" spans="1:40" ht="40" customHeight="1" x14ac:dyDescent="0.3">
      <c r="A17" s="293" t="str">
        <f>IF(F17=$Q$129,"&gt;",IF(AND(F17=$Q$130,G17=""),"&gt;",""))</f>
        <v>&gt;</v>
      </c>
      <c r="B17" s="235" t="str">
        <f>'Activity database'!A12</f>
        <v>Industrial - Laboratory area</v>
      </c>
      <c r="C17" s="546" t="str">
        <f>VLOOKUP(B17,'Activity database'!A:B,2,FALSE)</f>
        <v>Large or small category 1 laboratory area.</v>
      </c>
      <c r="D17" s="546"/>
      <c r="E17" s="546"/>
      <c r="F17" s="218" t="s">
        <v>699</v>
      </c>
      <c r="G17" s="248"/>
      <c r="H17" s="519"/>
      <c r="I17" s="519"/>
      <c r="J17" s="519"/>
      <c r="K17" s="519"/>
      <c r="L17" s="519"/>
      <c r="M17" s="519"/>
      <c r="N17" s="519"/>
      <c r="O17" s="519"/>
      <c r="P17" s="117"/>
      <c r="Q17" s="117"/>
      <c r="R17" s="117"/>
      <c r="S17" s="117"/>
      <c r="T17" s="117"/>
      <c r="U17" s="117"/>
      <c r="V17" s="117"/>
      <c r="W17" s="117"/>
      <c r="X17" s="87"/>
      <c r="Y17" s="117"/>
      <c r="Z17" s="117"/>
      <c r="AA17" s="117"/>
      <c r="AC17" s="117"/>
      <c r="AN17" s="117"/>
    </row>
    <row r="18" spans="1:40" ht="40" customHeight="1" x14ac:dyDescent="0.3">
      <c r="A18" s="293" t="str">
        <f>IF(F18=$Q$129,"&gt;",IF(AND(F18=$Q$130,G18=""),"&gt;",""))</f>
        <v>&gt;</v>
      </c>
      <c r="B18" s="235" t="str">
        <f>'Activity database'!A13</f>
        <v>Industrial - Warehouse storage</v>
      </c>
      <c r="C18" s="546" t="str">
        <f>VLOOKUP(B18,'Activity database'!A:B,2,FALSE)</f>
        <v>Permanently or intermittently occupied warehouse storage areas.</v>
      </c>
      <c r="D18" s="546"/>
      <c r="E18" s="546"/>
      <c r="F18" s="218" t="s">
        <v>699</v>
      </c>
      <c r="G18" s="248"/>
      <c r="H18" s="519"/>
      <c r="I18" s="519"/>
      <c r="J18" s="519"/>
      <c r="K18" s="519"/>
      <c r="L18" s="519"/>
      <c r="M18" s="519"/>
      <c r="N18" s="519"/>
      <c r="O18" s="519"/>
      <c r="P18" s="117"/>
      <c r="Q18" s="117"/>
      <c r="R18" s="117"/>
      <c r="S18" s="117"/>
      <c r="T18" s="87"/>
      <c r="U18" s="87"/>
      <c r="V18" s="87"/>
      <c r="W18" s="87"/>
      <c r="X18" s="87"/>
      <c r="Y18" s="117"/>
      <c r="Z18" s="117"/>
      <c r="AA18" s="117"/>
      <c r="AC18" s="117"/>
      <c r="AN18" s="117"/>
    </row>
    <row r="19" spans="1:40" ht="40" customHeight="1" x14ac:dyDescent="0.3">
      <c r="A19" s="293" t="str">
        <f>IF(F19=$Q$129,"&gt;",IF(AND(F19=$Q$130,G19=""),"&gt;",""))</f>
        <v>&gt;</v>
      </c>
      <c r="B19" s="235" t="str">
        <f>'Activity database'!A14</f>
        <v>Industrial - Office areas</v>
      </c>
      <c r="C19" s="546" t="str">
        <f>VLOOKUP(B19,'Activity database'!A:B,2,FALSE)</f>
        <v>Cellular or open plan office space, including staff kitchen where present/adjacent and reception areas. Exlcude meeting rooms, visitor waiting or circulation areas.</v>
      </c>
      <c r="D19" s="546"/>
      <c r="E19" s="546"/>
      <c r="F19" s="218" t="s">
        <v>699</v>
      </c>
      <c r="G19" s="248"/>
      <c r="H19" s="87"/>
      <c r="I19" s="87"/>
      <c r="J19" s="87"/>
      <c r="K19" s="87"/>
      <c r="L19" s="87"/>
      <c r="M19" s="87"/>
      <c r="N19" s="117"/>
      <c r="O19" s="117"/>
      <c r="P19" s="117"/>
      <c r="Q19" s="117"/>
      <c r="R19" s="117"/>
      <c r="S19" s="117"/>
      <c r="T19" s="87"/>
      <c r="U19" s="87"/>
      <c r="V19" s="87"/>
      <c r="W19" s="87"/>
      <c r="X19" s="87"/>
      <c r="Y19" s="117"/>
      <c r="Z19" s="117"/>
      <c r="AA19" s="117"/>
      <c r="AC19" s="117"/>
      <c r="AN19" s="117"/>
    </row>
    <row r="20" spans="1:40" ht="40" customHeight="1" x14ac:dyDescent="0.3">
      <c r="A20" s="293" t="str">
        <f>IF(F20=$Q$129,"&gt;",IF(AND(F20=$Q$130,G20=""),"&gt;",""))</f>
        <v>&gt;</v>
      </c>
      <c r="B20" s="235" t="str">
        <f>'Activity database'!A15</f>
        <v>Industrial - Staff canteen dining area</v>
      </c>
      <c r="C20" s="546" t="str">
        <f>VLOOKUP(B20,'Activity database'!A:B,2,FALSE)</f>
        <v>Seated dining areas that accompany a permanently staffed kitchen preparing food for consumption on the premises (excludes small un-staffed kitchen's used by office staff to re-heat food, make tea etc.)</v>
      </c>
      <c r="D20" s="546"/>
      <c r="E20" s="546"/>
      <c r="F20" s="218" t="s">
        <v>699</v>
      </c>
      <c r="G20" s="248"/>
      <c r="H20" s="547" t="s">
        <v>710</v>
      </c>
      <c r="I20" s="548"/>
      <c r="J20" s="548"/>
      <c r="K20" s="548"/>
      <c r="L20" s="548"/>
      <c r="M20" s="548"/>
      <c r="N20" s="548"/>
      <c r="O20" s="548"/>
      <c r="P20" s="117"/>
      <c r="Q20" s="117"/>
      <c r="R20" s="117"/>
      <c r="S20" s="117"/>
      <c r="T20" s="87"/>
      <c r="U20" s="87"/>
      <c r="V20" s="87"/>
      <c r="W20" s="87"/>
      <c r="X20" s="87"/>
      <c r="Y20" s="125"/>
      <c r="Z20" s="125"/>
      <c r="AA20" s="125"/>
      <c r="AB20" s="125"/>
      <c r="AC20" s="117"/>
      <c r="AN20" s="117"/>
    </row>
    <row r="21" spans="1:40" ht="40" customHeight="1" x14ac:dyDescent="0.3">
      <c r="A21" s="293" t="str">
        <f>IF(F21=$Q$129,"&gt;","")</f>
        <v>&gt;</v>
      </c>
      <c r="B21" s="235" t="str">
        <f>'Activity database'!A16</f>
        <v>Industrial - Fitness suite/gym (with changing facility and showers)</v>
      </c>
      <c r="C21" s="546" t="str">
        <f>VLOOKUP(B21,'Activity database'!A:B,2,FALSE)</f>
        <v>A fitness suite or gym that is part of the office building/development  and used by the building's employees only. The gym will have its own changing facility with showers.</v>
      </c>
      <c r="D21" s="546"/>
      <c r="E21" s="546"/>
      <c r="F21" s="218" t="s">
        <v>699</v>
      </c>
      <c r="G21" s="247"/>
      <c r="H21" s="549" t="str">
        <f>IF(F21=Q130,"Note: Net floor area is not required for this activity. Its inclusion (or otherwise) simply determines the usage/person/day factor and therefore resulting water consumption from the showers.","")</f>
        <v/>
      </c>
      <c r="I21" s="550"/>
      <c r="J21" s="550"/>
      <c r="K21" s="550"/>
      <c r="L21" s="550"/>
      <c r="M21" s="550"/>
      <c r="N21" s="550"/>
      <c r="O21" s="550"/>
      <c r="P21" s="117"/>
      <c r="Q21" s="117"/>
      <c r="R21" s="117"/>
      <c r="S21" s="117"/>
      <c r="T21" s="87"/>
      <c r="U21" s="87"/>
      <c r="V21" s="87"/>
      <c r="W21" s="87"/>
      <c r="X21" s="87"/>
      <c r="Y21" s="126"/>
      <c r="Z21" s="126"/>
      <c r="AA21" s="126"/>
      <c r="AB21" s="126"/>
      <c r="AC21" s="117"/>
      <c r="AN21" s="117"/>
    </row>
    <row r="22" spans="1:40" ht="30" customHeight="1" x14ac:dyDescent="0.3">
      <c r="A22" s="87"/>
      <c r="B22" s="87"/>
      <c r="C22" s="249"/>
      <c r="D22" s="249"/>
      <c r="E22" s="249"/>
      <c r="F22" s="250" t="s">
        <v>841</v>
      </c>
      <c r="G22" s="251" t="s">
        <v>699</v>
      </c>
      <c r="H22" s="544" t="str">
        <f>IF(AND(Ind_act=R136,F20=Q130,G22=Q130),"Warning: Please delete the contents of this cell to ensure accurate calculation.","")</f>
        <v/>
      </c>
      <c r="I22" s="544"/>
      <c r="J22" s="544"/>
      <c r="K22" s="544"/>
      <c r="L22" s="544"/>
      <c r="M22" s="544"/>
      <c r="N22" s="521"/>
      <c r="O22" s="521"/>
      <c r="P22" s="87"/>
      <c r="Q22" s="117"/>
      <c r="R22" s="117"/>
      <c r="S22" s="117"/>
      <c r="T22" s="87"/>
      <c r="U22" s="87"/>
      <c r="V22" s="87"/>
      <c r="W22" s="87"/>
      <c r="X22" s="87"/>
      <c r="Y22" s="126"/>
      <c r="Z22" s="126"/>
      <c r="AA22" s="126"/>
      <c r="AB22" s="126"/>
      <c r="AC22" s="117"/>
      <c r="AN22" s="117"/>
    </row>
    <row r="23" spans="1:40" ht="25" customHeight="1" x14ac:dyDescent="0.3">
      <c r="A23" s="87"/>
      <c r="B23" s="87"/>
      <c r="C23" s="87"/>
      <c r="D23" s="87"/>
      <c r="E23" s="87"/>
      <c r="F23" s="87"/>
      <c r="G23" s="88"/>
      <c r="I23" s="117"/>
      <c r="J23" s="117"/>
      <c r="K23" s="117"/>
      <c r="L23" s="117"/>
      <c r="M23" s="117"/>
      <c r="N23" s="117"/>
      <c r="O23" s="117"/>
      <c r="P23" s="117"/>
      <c r="Q23" s="117"/>
      <c r="R23" s="117"/>
      <c r="S23" s="117"/>
      <c r="T23" s="87"/>
      <c r="U23" s="87"/>
      <c r="V23" s="87"/>
      <c r="W23" s="87"/>
      <c r="X23" s="157"/>
      <c r="Y23" s="127"/>
      <c r="Z23" s="127"/>
      <c r="AA23" s="127"/>
      <c r="AB23" s="127"/>
      <c r="AC23" s="117"/>
      <c r="AN23" s="117"/>
    </row>
    <row r="24" spans="1:40" ht="32.15" customHeight="1" x14ac:dyDescent="0.3">
      <c r="A24" s="87"/>
      <c r="B24" s="422" t="s">
        <v>711</v>
      </c>
      <c r="C24" s="422"/>
      <c r="D24" s="422"/>
      <c r="E24" s="422"/>
      <c r="F24" s="422"/>
      <c r="G24" s="422"/>
      <c r="I24" s="117"/>
      <c r="J24" s="117"/>
      <c r="K24" s="117"/>
      <c r="L24" s="117"/>
      <c r="M24" s="117"/>
      <c r="N24" s="117"/>
      <c r="O24" s="117"/>
      <c r="P24" s="117"/>
      <c r="Q24" s="117"/>
      <c r="R24" s="117"/>
      <c r="S24" s="117"/>
      <c r="T24" s="87"/>
      <c r="U24" s="87"/>
      <c r="V24" s="87"/>
      <c r="W24" s="87"/>
      <c r="X24" s="87"/>
      <c r="Y24" s="117"/>
      <c r="Z24" s="117"/>
      <c r="AA24" s="117"/>
      <c r="AC24" s="117"/>
      <c r="AN24" s="117"/>
    </row>
    <row r="25" spans="1:40" ht="25" customHeight="1" x14ac:dyDescent="0.3">
      <c r="A25" s="87"/>
      <c r="B25" s="87"/>
      <c r="C25" s="87"/>
      <c r="D25" s="87"/>
      <c r="E25" s="87"/>
      <c r="F25" s="87"/>
      <c r="G25" s="88"/>
      <c r="I25" s="117"/>
      <c r="J25" s="117"/>
      <c r="K25" s="117"/>
      <c r="L25" s="117"/>
      <c r="M25" s="117"/>
      <c r="N25" s="117"/>
      <c r="O25" s="117"/>
      <c r="P25" s="117"/>
      <c r="Q25" s="117"/>
      <c r="R25" s="117"/>
      <c r="S25" s="117"/>
      <c r="T25" s="87"/>
      <c r="U25" s="87"/>
      <c r="V25" s="87"/>
      <c r="W25" s="87"/>
      <c r="X25" s="87"/>
      <c r="Y25" s="87"/>
      <c r="Z25" s="87"/>
      <c r="AA25" s="87"/>
      <c r="AB25" s="87"/>
      <c r="AC25" s="117"/>
      <c r="AN25" s="117"/>
    </row>
    <row r="26" spans="1:40" ht="25" customHeight="1" x14ac:dyDescent="0.3">
      <c r="A26" s="87"/>
      <c r="B26" s="451" t="s">
        <v>712</v>
      </c>
      <c r="C26" s="444" t="s">
        <v>713</v>
      </c>
      <c r="D26" s="444" t="s">
        <v>714</v>
      </c>
      <c r="E26" s="444" t="s">
        <v>715</v>
      </c>
      <c r="F26" s="444" t="s">
        <v>716</v>
      </c>
      <c r="G26" s="444" t="s">
        <v>717</v>
      </c>
      <c r="I26" s="117"/>
      <c r="J26" s="117"/>
      <c r="K26" s="117"/>
      <c r="L26" s="117"/>
      <c r="M26" s="117"/>
      <c r="N26" s="272" t="s">
        <v>712</v>
      </c>
      <c r="O26" s="111" t="s">
        <v>718</v>
      </c>
      <c r="P26" s="111" t="s">
        <v>715</v>
      </c>
      <c r="Q26" s="111" t="s">
        <v>716</v>
      </c>
      <c r="R26" s="111" t="s">
        <v>719</v>
      </c>
      <c r="S26" s="117"/>
      <c r="T26" s="87"/>
      <c r="U26" s="87"/>
      <c r="V26" s="87"/>
      <c r="W26" s="87"/>
      <c r="X26" s="87"/>
      <c r="Y26" s="117"/>
      <c r="Z26" s="117"/>
      <c r="AA26" s="117"/>
      <c r="AC26" s="117"/>
      <c r="AN26" s="117"/>
    </row>
    <row r="27" spans="1:40" ht="15" customHeight="1" x14ac:dyDescent="0.3">
      <c r="A27" s="293" t="str">
        <f>IF(B27=$Q$129,"&gt;","")</f>
        <v>&gt;</v>
      </c>
      <c r="B27" s="220" t="s">
        <v>699</v>
      </c>
      <c r="C27" s="93" t="s">
        <v>720</v>
      </c>
      <c r="D27" s="221"/>
      <c r="E27" s="94" t="str">
        <f>IF(Ind_act=Q129,"",IF(B27=R129,"",IF(B27=R130,VLOOKUP($B$13,'Activity database'!$A:$AN,9,FALSE),IF(B27=R131,VLOOKUP($B$13,'Activity database'!$A:$BY,10,FALSE)))))</f>
        <v/>
      </c>
      <c r="F27" s="94" t="str">
        <f>IF(Ind_act=Q129,"",VLOOKUP($B$13,'Activity database'!$A:$BY,27,FALSE))</f>
        <v/>
      </c>
      <c r="G27" s="92" t="str">
        <f>IF(ISERROR((D27*E27*F27*(VLOOKUP(B13,'Activity database'!A:BA,7,FALSE)))),Q137,(D27*E27*F27*(VLOOKUP(B13,'Activity database'!A:BA,7,FALSE))))</f>
        <v>Requires building information</v>
      </c>
      <c r="H27" s="294" t="str">
        <f>IF(B27=R129,"Note: please seelct the relevant option for WC component opposite","")</f>
        <v>Note: please seelct the relevant option for WC component opposite</v>
      </c>
      <c r="I27" s="117"/>
      <c r="J27" s="117"/>
      <c r="K27" s="117"/>
      <c r="L27" s="117"/>
      <c r="M27" s="117"/>
      <c r="N27" s="169" t="str">
        <f>B27</f>
        <v>Please select</v>
      </c>
      <c r="O27" s="94">
        <f>IF($D$27="",0,VLOOKUP($N$27,'Activity database'!$AT:$BA,2,FALSE))</f>
        <v>0</v>
      </c>
      <c r="P27" s="94" t="str">
        <f>E27</f>
        <v/>
      </c>
      <c r="Q27" s="94" t="str">
        <f>F27</f>
        <v/>
      </c>
      <c r="R27" s="92">
        <f>IF($D$27="",0,O27*$P$27*$Q$27*(VLOOKUP($B$13,'Activity database'!$A:$BA,7,FALSE)))</f>
        <v>0</v>
      </c>
      <c r="S27" s="117"/>
      <c r="T27" s="87"/>
      <c r="U27" s="87"/>
      <c r="V27" s="87"/>
      <c r="W27" s="87"/>
      <c r="X27" s="87"/>
      <c r="Y27" s="117"/>
      <c r="Z27" s="117"/>
      <c r="AA27" s="117"/>
      <c r="AC27" s="117"/>
      <c r="AN27" s="117"/>
    </row>
    <row r="28" spans="1:40" ht="15" customHeight="1" x14ac:dyDescent="0.3">
      <c r="A28" s="87"/>
      <c r="B28" s="101" t="str">
        <f>'Activity database'!K3</f>
        <v>WC - female</v>
      </c>
      <c r="C28" s="93" t="s">
        <v>720</v>
      </c>
      <c r="D28" s="221"/>
      <c r="E28" s="94" t="str">
        <f>IF(Ind_act=Q129,"",VLOOKUP($B$13,'Activity database'!$A:$BY,11,FALSE))</f>
        <v/>
      </c>
      <c r="F28" s="94" t="str">
        <f>IF(Ind_act=Q129,"",VLOOKUP($B$13,'Activity database'!$A:$BY,27,FALSE))</f>
        <v/>
      </c>
      <c r="G28" s="92" t="str">
        <f>IF(Ind_act=Q129,Q137,D28*E28*F28*(VLOOKUP(B13,'Activity database'!A:BA,8,FALSE)))</f>
        <v>Requires building information</v>
      </c>
      <c r="H28" s="544" t="s">
        <v>721</v>
      </c>
      <c r="I28" s="544"/>
      <c r="J28" s="544"/>
      <c r="K28" s="544"/>
      <c r="L28" s="544"/>
      <c r="M28" s="544"/>
      <c r="N28" s="239" t="str">
        <f>B28</f>
        <v>WC - female</v>
      </c>
      <c r="O28" s="94">
        <f>IF($D$28="",0,VLOOKUP($N$28,'Activity database'!$AT:$BA,2,FALSE))</f>
        <v>0</v>
      </c>
      <c r="P28" s="94" t="str">
        <f>E28</f>
        <v/>
      </c>
      <c r="Q28" s="94" t="str">
        <f>F28</f>
        <v/>
      </c>
      <c r="R28" s="92">
        <f>IF($D$28="",0,O28*$P$28*$Q$28*(VLOOKUP($B$13,'Activity database'!$A:$BA,8,FALSE)))</f>
        <v>0</v>
      </c>
      <c r="S28" s="117"/>
      <c r="T28" s="87"/>
      <c r="U28" s="87"/>
      <c r="V28" s="87"/>
      <c r="W28" s="87"/>
      <c r="X28" s="87"/>
      <c r="Y28" s="117"/>
      <c r="Z28" s="117"/>
      <c r="AA28" s="117"/>
      <c r="AC28" s="117"/>
      <c r="AN28" s="117"/>
    </row>
    <row r="29" spans="1:40" ht="12.75" customHeight="1" x14ac:dyDescent="0.3">
      <c r="A29" s="87"/>
      <c r="B29" s="87"/>
      <c r="C29" s="87"/>
      <c r="D29" s="87"/>
      <c r="E29" s="87"/>
      <c r="F29" s="87"/>
      <c r="G29" s="88"/>
      <c r="H29" s="544"/>
      <c r="I29" s="544"/>
      <c r="J29" s="544"/>
      <c r="K29" s="544"/>
      <c r="L29" s="544"/>
      <c r="M29" s="544"/>
      <c r="N29" s="117"/>
      <c r="O29" s="117"/>
      <c r="P29" s="117"/>
      <c r="Q29" s="117"/>
      <c r="R29" s="117"/>
      <c r="S29" s="117"/>
      <c r="T29" s="87"/>
      <c r="U29" s="87"/>
      <c r="V29" s="87"/>
      <c r="W29" s="87"/>
      <c r="X29" s="87"/>
      <c r="Y29" s="117"/>
      <c r="Z29" s="117"/>
      <c r="AA29" s="117"/>
      <c r="AC29" s="117"/>
      <c r="AN29" s="117"/>
    </row>
    <row r="30" spans="1:40" ht="25" customHeight="1" x14ac:dyDescent="0.3">
      <c r="A30" s="87"/>
      <c r="B30" s="451" t="s">
        <v>722</v>
      </c>
      <c r="C30" s="444" t="s">
        <v>713</v>
      </c>
      <c r="D30" s="444" t="s">
        <v>714</v>
      </c>
      <c r="E30" s="444" t="s">
        <v>723</v>
      </c>
      <c r="F30" s="444" t="s">
        <v>724</v>
      </c>
      <c r="G30" s="444" t="s">
        <v>717</v>
      </c>
      <c r="H30" s="544"/>
      <c r="I30" s="544"/>
      <c r="J30" s="544"/>
      <c r="K30" s="544"/>
      <c r="L30" s="544"/>
      <c r="M30" s="544"/>
      <c r="N30" s="272" t="s">
        <v>722</v>
      </c>
      <c r="O30" s="111" t="s">
        <v>718</v>
      </c>
      <c r="P30" s="111" t="s">
        <v>725</v>
      </c>
      <c r="Q30" s="111" t="s">
        <v>726</v>
      </c>
      <c r="R30" s="111" t="s">
        <v>719</v>
      </c>
      <c r="S30" s="87"/>
      <c r="T30" s="87"/>
      <c r="U30" s="87"/>
      <c r="V30" s="87"/>
      <c r="W30" s="87"/>
      <c r="X30" s="87"/>
      <c r="Y30" s="117"/>
      <c r="Z30" s="117"/>
      <c r="AA30" s="117"/>
      <c r="AC30" s="117"/>
      <c r="AN30" s="117"/>
    </row>
    <row r="31" spans="1:40" ht="15" customHeight="1" x14ac:dyDescent="0.3">
      <c r="A31" s="293" t="str">
        <f>IF(AND(D31&gt;0,OR(E31="",F31="")),"&gt;","")</f>
        <v/>
      </c>
      <c r="B31" s="551" t="s">
        <v>727</v>
      </c>
      <c r="C31" s="93" t="s">
        <v>728</v>
      </c>
      <c r="D31" s="221"/>
      <c r="E31" s="222">
        <v>5</v>
      </c>
      <c r="F31" s="222">
        <v>2</v>
      </c>
      <c r="G31" s="92" t="str">
        <f>IF(Ind_act=Q129,Q137,IF(ISERROR(IF(OR(D31=0,E31=0,F31=0,B27=R131),0,(D31*E31*F31*G13)/O137)),Q137,IF(OR(D31=0,E31=0,F31=0,B27=R131),0,(D31*E31*F31*G13)/O137)))</f>
        <v>Requires building information</v>
      </c>
      <c r="H31" s="129"/>
      <c r="I31" s="128"/>
      <c r="J31" s="128"/>
      <c r="K31" s="128"/>
      <c r="L31" s="128"/>
      <c r="N31" s="289" t="str">
        <f>B31</f>
        <v>Automatically operated flushing cistern</v>
      </c>
      <c r="O31" s="288">
        <f>IF($D$31=0,0,IF($D$32=1,'Activity database'!$AU$11,'Activity database'!$AU$10))</f>
        <v>0</v>
      </c>
      <c r="P31" s="90" t="e">
        <f>O31*$G$13</f>
        <v>#N/A</v>
      </c>
      <c r="Q31" s="94" t="e">
        <f>P31*$D$32</f>
        <v>#N/A</v>
      </c>
      <c r="R31" s="94" t="e">
        <f>IF(B27=R131,0,$Q$31/O137)</f>
        <v>#N/A</v>
      </c>
      <c r="S31" s="87"/>
      <c r="T31" s="87"/>
      <c r="U31" s="87"/>
      <c r="V31" s="113"/>
      <c r="W31" s="87"/>
      <c r="X31" s="87"/>
      <c r="Y31" s="117"/>
      <c r="Z31" s="117"/>
      <c r="AA31" s="117"/>
      <c r="AC31" s="117"/>
      <c r="AN31" s="117"/>
    </row>
    <row r="32" spans="1:40" ht="15" customHeight="1" x14ac:dyDescent="0.3">
      <c r="A32" s="293" t="str">
        <f>IF(AND(D31&gt;0,D32=""),"&gt;","")</f>
        <v/>
      </c>
      <c r="B32" s="552"/>
      <c r="C32" s="93" t="s">
        <v>729</v>
      </c>
      <c r="D32" s="221"/>
      <c r="E32" s="87"/>
      <c r="F32" s="87"/>
      <c r="G32" s="87"/>
      <c r="I32" s="117"/>
      <c r="J32" s="117"/>
      <c r="K32" s="117"/>
      <c r="L32" s="117"/>
      <c r="M32" s="130"/>
      <c r="N32" s="87"/>
      <c r="O32" s="87"/>
      <c r="P32" s="87"/>
      <c r="Q32" s="87"/>
      <c r="R32" s="87"/>
      <c r="S32" s="87"/>
      <c r="T32" s="87"/>
      <c r="U32" s="87"/>
      <c r="V32" s="113"/>
      <c r="W32" s="87"/>
      <c r="X32" s="87"/>
      <c r="Y32" s="117"/>
      <c r="Z32" s="117"/>
      <c r="AA32" s="117"/>
      <c r="AC32" s="117"/>
      <c r="AN32" s="117"/>
    </row>
    <row r="33" spans="1:40" ht="25" customHeight="1" x14ac:dyDescent="0.3">
      <c r="A33" s="87"/>
      <c r="B33" s="451"/>
      <c r="C33" s="444" t="s">
        <v>713</v>
      </c>
      <c r="D33" s="444" t="s">
        <v>714</v>
      </c>
      <c r="E33" s="444" t="s">
        <v>715</v>
      </c>
      <c r="F33" s="444" t="s">
        <v>716</v>
      </c>
      <c r="G33" s="444" t="s">
        <v>717</v>
      </c>
      <c r="H33" s="129"/>
      <c r="I33" s="117"/>
      <c r="J33" s="117"/>
      <c r="K33" s="117"/>
      <c r="L33" s="117"/>
      <c r="M33" s="117"/>
      <c r="N33" s="272" t="s">
        <v>722</v>
      </c>
      <c r="O33" s="111" t="s">
        <v>718</v>
      </c>
      <c r="P33" s="111" t="s">
        <v>715</v>
      </c>
      <c r="Q33" s="111" t="s">
        <v>716</v>
      </c>
      <c r="R33" s="111" t="s">
        <v>719</v>
      </c>
      <c r="S33" s="117"/>
      <c r="T33" s="87"/>
      <c r="U33" s="87"/>
      <c r="V33" s="113"/>
      <c r="W33" s="87"/>
      <c r="X33" s="87"/>
      <c r="Y33" s="117"/>
      <c r="Z33" s="117"/>
      <c r="AA33" s="117"/>
      <c r="AC33" s="117"/>
      <c r="AN33" s="117"/>
    </row>
    <row r="34" spans="1:40" ht="15" customHeight="1" x14ac:dyDescent="0.3">
      <c r="A34" s="87"/>
      <c r="B34" s="551" t="s">
        <v>730</v>
      </c>
      <c r="C34" s="93" t="s">
        <v>731</v>
      </c>
      <c r="D34" s="222"/>
      <c r="E34" s="94" t="str">
        <f>IF(Ind_act=Q129,"",VLOOKUP($B$13,'Activity database'!$A:$AN,12,FALSE))</f>
        <v/>
      </c>
      <c r="F34" s="94" t="str">
        <f>IF(Ind_act=Q129,"",VLOOKUP($B$13,'Activity database'!$A:$AN,28,FALSE))</f>
        <v/>
      </c>
      <c r="G34" s="92" t="str">
        <f>IF(Ind_act=Q129,Q137,IF(OR(D34=0,E34=0,F34=0,B27=R131),0,(D34*E34*F34)*(VLOOKUP(B13,'Activity database'!A:BA,7,FALSE))*(D35/(D32+D35+D38))))</f>
        <v>Requires building information</v>
      </c>
      <c r="H34" s="544" t="str">
        <f>IF(B27=R131,"",N149)</f>
        <v>Note: This consumption total accounts for the ratio of male users for this building type i.e. the ratio of building users who will operate the flush. Where more than one type of urinal flushing control is specified in the building, this consumption figure is adjusted by a ratio of use. the ratio is determined according to the proportion of urinals bowls in the building operated using this type of control.</v>
      </c>
      <c r="I34" s="544"/>
      <c r="J34" s="544"/>
      <c r="K34" s="544"/>
      <c r="L34" s="544"/>
      <c r="M34" s="544"/>
      <c r="N34" s="287" t="str">
        <f>B34</f>
        <v>Manual/automatic operated pressure flushing valve (all activity areas)</v>
      </c>
      <c r="O34" s="90">
        <f>'Activity database'!$AU$12</f>
        <v>1.5</v>
      </c>
      <c r="P34" s="94" t="str">
        <f>E34</f>
        <v/>
      </c>
      <c r="Q34" s="94" t="str">
        <f>F34</f>
        <v/>
      </c>
      <c r="R34" s="94" t="e">
        <f>IF(B27=R131,0,IF($D$34="",0,$O$34*$P$34*$Q$34*(VLOOKUP(B13,'Activity database'!$A:$BA,7,FALSE)))*(D35/(D32+D35+D38)))</f>
        <v>#DIV/0!</v>
      </c>
      <c r="S34" s="117"/>
      <c r="T34" s="117"/>
      <c r="U34" s="117"/>
      <c r="V34" s="130"/>
      <c r="W34" s="117"/>
      <c r="X34" s="117"/>
      <c r="Y34" s="117"/>
      <c r="Z34" s="117"/>
      <c r="AA34" s="117"/>
      <c r="AC34" s="117"/>
      <c r="AN34" s="117"/>
    </row>
    <row r="35" spans="1:40" ht="15" customHeight="1" x14ac:dyDescent="0.3">
      <c r="A35" s="293" t="str">
        <f>IF(AND(D34&gt;0,D35=""),"&gt;","")</f>
        <v/>
      </c>
      <c r="B35" s="553"/>
      <c r="C35" s="95" t="s">
        <v>729</v>
      </c>
      <c r="D35" s="221"/>
      <c r="E35" s="87"/>
      <c r="F35" s="87"/>
      <c r="G35" s="87"/>
      <c r="H35" s="544"/>
      <c r="I35" s="544"/>
      <c r="J35" s="544"/>
      <c r="K35" s="544"/>
      <c r="L35" s="544"/>
      <c r="M35" s="544"/>
      <c r="N35" s="113"/>
      <c r="O35" s="280"/>
      <c r="P35" s="87"/>
      <c r="Q35" s="87"/>
      <c r="R35" s="87"/>
      <c r="S35" s="117"/>
      <c r="T35" s="117"/>
      <c r="U35" s="117"/>
      <c r="V35" s="117"/>
      <c r="W35" s="117"/>
      <c r="X35" s="117"/>
      <c r="Y35" s="117"/>
      <c r="Z35" s="117"/>
      <c r="AA35" s="117"/>
      <c r="AC35" s="117"/>
      <c r="AN35" s="117"/>
    </row>
    <row r="36" spans="1:40" ht="25" customHeight="1" x14ac:dyDescent="0.3">
      <c r="A36" s="87"/>
      <c r="B36" s="451"/>
      <c r="C36" s="444" t="s">
        <v>713</v>
      </c>
      <c r="D36" s="444" t="s">
        <v>714</v>
      </c>
      <c r="E36" s="444" t="s">
        <v>715</v>
      </c>
      <c r="F36" s="444" t="s">
        <v>716</v>
      </c>
      <c r="G36" s="444" t="s">
        <v>717</v>
      </c>
      <c r="H36" s="544"/>
      <c r="I36" s="544"/>
      <c r="J36" s="544"/>
      <c r="K36" s="544"/>
      <c r="L36" s="544"/>
      <c r="M36" s="544"/>
      <c r="N36" s="272" t="s">
        <v>722</v>
      </c>
      <c r="O36" s="111" t="s">
        <v>718</v>
      </c>
      <c r="P36" s="111" t="s">
        <v>715</v>
      </c>
      <c r="Q36" s="111" t="s">
        <v>716</v>
      </c>
      <c r="R36" s="111" t="s">
        <v>719</v>
      </c>
      <c r="S36" s="117"/>
      <c r="T36" s="117"/>
      <c r="U36" s="117"/>
      <c r="V36" s="117"/>
      <c r="W36" s="117"/>
      <c r="X36" s="117"/>
      <c r="Y36" s="117"/>
      <c r="Z36" s="117"/>
      <c r="AA36" s="117"/>
      <c r="AC36" s="117"/>
      <c r="AN36" s="117"/>
    </row>
    <row r="37" spans="1:40" ht="15" customHeight="1" x14ac:dyDescent="0.3">
      <c r="A37" s="293" t="str">
        <f>IF(B27=R131,"",IF(D37=$Q$129,"&gt;",""))</f>
        <v>&gt;</v>
      </c>
      <c r="B37" s="551" t="s">
        <v>732</v>
      </c>
      <c r="C37" s="93" t="s">
        <v>731</v>
      </c>
      <c r="D37" s="218" t="s">
        <v>699</v>
      </c>
      <c r="E37" s="94" t="str">
        <f>IF(Ind_act=Q129,"",VLOOKUP($B$13,'Activity database'!$A:$AN,12,FALSE))</f>
        <v/>
      </c>
      <c r="F37" s="94" t="str">
        <f>IF(Ind_act=Q129,"",VLOOKUP($B$13,'Activity database'!$A:$AN,28,FALSE))</f>
        <v/>
      </c>
      <c r="G37" s="92" t="str">
        <f>IF(Ind_act=Q129,Q137,0)</f>
        <v>Requires building information</v>
      </c>
      <c r="H37" s="545" t="str">
        <f>IF(OR(B27=R131,B27=R129,D37=P131),"",IF(AND(D37=P130,D38&gt;0),N151,IF(OR(D37=R129,D37=P130),N152)))</f>
        <v/>
      </c>
      <c r="I37" s="545"/>
      <c r="J37" s="545"/>
      <c r="K37" s="545"/>
      <c r="L37" s="545"/>
      <c r="M37" s="545"/>
      <c r="N37" s="287" t="str">
        <f>B37</f>
        <v>Waterless urinals (all activity areas)</v>
      </c>
      <c r="O37" s="290">
        <f>'Activity database'!$AU$12</f>
        <v>1.5</v>
      </c>
      <c r="P37" s="94" t="str">
        <f>E37</f>
        <v/>
      </c>
      <c r="Q37" s="94" t="str">
        <f>F37</f>
        <v/>
      </c>
      <c r="R37" s="94" t="e">
        <f>IF(B27=R131,0,IF(OR($D$37="",$D$37=P129,$D$37=P131),0,$O$37*$P$37*$Q$37*(VLOOKUP(B13,'Activity database'!$A:$BA,7,FALSE)))*(D38/(D32+D35+D38)))</f>
        <v>#DIV/0!</v>
      </c>
      <c r="S37" s="117"/>
      <c r="T37" s="117"/>
      <c r="U37" s="117"/>
      <c r="V37" s="117"/>
      <c r="W37" s="117"/>
      <c r="X37" s="117"/>
      <c r="Y37" s="117"/>
      <c r="Z37" s="117"/>
      <c r="AA37" s="117"/>
      <c r="AC37" s="117"/>
      <c r="AN37" s="117"/>
    </row>
    <row r="38" spans="1:40" ht="15" customHeight="1" x14ac:dyDescent="0.3">
      <c r="A38" s="293" t="str">
        <f>IF(AND(D37=P130,D38=""),"&gt;","")</f>
        <v/>
      </c>
      <c r="B38" s="554"/>
      <c r="C38" s="95" t="s">
        <v>729</v>
      </c>
      <c r="D38" s="221"/>
      <c r="E38" s="87"/>
      <c r="F38" s="87"/>
      <c r="G38" s="87"/>
      <c r="H38" s="545"/>
      <c r="I38" s="545"/>
      <c r="J38" s="545"/>
      <c r="K38" s="545"/>
      <c r="L38" s="545"/>
      <c r="M38" s="545"/>
      <c r="N38" s="117"/>
      <c r="O38" s="117"/>
      <c r="P38" s="117"/>
      <c r="Q38" s="117"/>
      <c r="R38" s="117"/>
      <c r="S38" s="117"/>
      <c r="T38" s="87"/>
      <c r="U38" s="87"/>
      <c r="V38" s="87"/>
      <c r="W38" s="87"/>
      <c r="X38" s="87"/>
      <c r="Y38" s="87"/>
      <c r="Z38" s="87"/>
      <c r="AA38" s="87"/>
      <c r="AC38" s="117"/>
      <c r="AN38" s="117"/>
    </row>
    <row r="39" spans="1:40" ht="18" customHeight="1" x14ac:dyDescent="0.3">
      <c r="A39" s="87"/>
      <c r="B39" s="87"/>
      <c r="C39" s="87"/>
      <c r="D39" s="87"/>
      <c r="E39" s="87"/>
      <c r="F39" s="87"/>
      <c r="G39" s="88"/>
      <c r="H39" s="545"/>
      <c r="I39" s="545"/>
      <c r="J39" s="545"/>
      <c r="K39" s="545"/>
      <c r="L39" s="545"/>
      <c r="M39" s="545"/>
      <c r="N39" s="87"/>
      <c r="O39" s="87"/>
      <c r="P39" s="117"/>
      <c r="Q39" s="117"/>
      <c r="R39" s="117"/>
      <c r="S39" s="117"/>
      <c r="T39" s="87"/>
      <c r="U39" s="87"/>
      <c r="V39" s="87"/>
      <c r="W39" s="87"/>
      <c r="X39" s="87"/>
      <c r="Y39" s="87"/>
      <c r="Z39" s="87"/>
      <c r="AA39" s="87"/>
      <c r="AB39" s="118"/>
      <c r="AC39" s="117"/>
      <c r="AN39" s="117"/>
    </row>
    <row r="40" spans="1:40" ht="25" customHeight="1" x14ac:dyDescent="0.3">
      <c r="A40" s="87"/>
      <c r="B40" s="87"/>
      <c r="C40" s="444" t="s">
        <v>713</v>
      </c>
      <c r="D40" s="444" t="s">
        <v>714</v>
      </c>
      <c r="E40" s="444" t="s">
        <v>715</v>
      </c>
      <c r="F40" s="444" t="s">
        <v>716</v>
      </c>
      <c r="G40" s="444" t="s">
        <v>717</v>
      </c>
      <c r="I40" s="87"/>
      <c r="J40" s="117"/>
      <c r="K40" s="117"/>
      <c r="L40" s="117"/>
      <c r="M40" s="117"/>
      <c r="N40" s="87"/>
      <c r="O40" s="87"/>
      <c r="P40" s="87"/>
      <c r="Q40" s="87"/>
      <c r="R40" s="87"/>
      <c r="S40" s="117"/>
      <c r="T40" s="87"/>
      <c r="U40" s="87"/>
      <c r="V40" s="87"/>
      <c r="W40" s="87"/>
      <c r="X40" s="87"/>
      <c r="Y40" s="87"/>
      <c r="Z40" s="87"/>
      <c r="AA40" s="87"/>
      <c r="AC40" s="117"/>
      <c r="AN40" s="117"/>
    </row>
    <row r="41" spans="1:40" ht="25" customHeight="1" x14ac:dyDescent="0.3">
      <c r="A41" s="87"/>
      <c r="B41" s="446" t="s">
        <v>733</v>
      </c>
      <c r="C41" s="452"/>
      <c r="D41" s="452"/>
      <c r="E41" s="452"/>
      <c r="F41" s="452"/>
      <c r="G41" s="453"/>
      <c r="I41" s="87"/>
      <c r="J41" s="117"/>
      <c r="K41" s="117"/>
      <c r="L41" s="117"/>
      <c r="M41" s="117"/>
      <c r="N41" s="272" t="s">
        <v>733</v>
      </c>
      <c r="O41" s="111" t="s">
        <v>734</v>
      </c>
      <c r="P41" s="111" t="s">
        <v>715</v>
      </c>
      <c r="Q41" s="111" t="s">
        <v>716</v>
      </c>
      <c r="R41" s="111" t="s">
        <v>719</v>
      </c>
      <c r="S41" s="117"/>
      <c r="T41" s="87"/>
      <c r="U41" s="87"/>
      <c r="V41" s="87"/>
      <c r="W41" s="87"/>
      <c r="X41" s="87"/>
      <c r="Y41" s="87"/>
      <c r="Z41" s="87"/>
      <c r="AA41" s="87"/>
      <c r="AC41" s="117"/>
      <c r="AN41" s="117"/>
    </row>
    <row r="42" spans="1:40" ht="15" customHeight="1" x14ac:dyDescent="0.3">
      <c r="A42" s="87"/>
      <c r="B42" s="103" t="str">
        <f>'Activity database'!M3</f>
        <v>Wash hand basin taps</v>
      </c>
      <c r="C42" s="94" t="s">
        <v>735</v>
      </c>
      <c r="D42" s="221"/>
      <c r="E42" s="94" t="str">
        <f>IF(Ind_act=Q129,"",VLOOKUP($B$13,'Activity database'!$A:$AN,13,FALSE))</f>
        <v/>
      </c>
      <c r="F42" s="94" t="str">
        <f>IF(Ind_act=Q129,"",VLOOKUP($B$13,'Activity database'!$A:$AN,29,FALSE))</f>
        <v/>
      </c>
      <c r="G42" s="92" t="str">
        <f>IF(Ind_act=Q129,Q137,(D42*E42*F42)*VLOOKUP(B13,'Activity database'!A:AR,44,FALSE))</f>
        <v>Requires building information</v>
      </c>
      <c r="I42" s="117"/>
      <c r="J42" s="117"/>
      <c r="K42" s="117"/>
      <c r="L42" s="117"/>
      <c r="M42" s="117"/>
      <c r="N42" s="96" t="str">
        <f t="shared" ref="N42:N47" si="0">B42</f>
        <v>Wash hand basin taps</v>
      </c>
      <c r="O42" s="94">
        <f>IF($D$42="",0,VLOOKUP($N$42,'Activity database'!$AT:$BA,2,FALSE))</f>
        <v>0</v>
      </c>
      <c r="P42" s="94" t="str">
        <f t="shared" ref="P42:Q46" si="1">E42</f>
        <v/>
      </c>
      <c r="Q42" s="94" t="str">
        <f t="shared" si="1"/>
        <v/>
      </c>
      <c r="R42" s="94">
        <f>IF($D$42="",0,(O42*$P$42*$Q$42)*(VLOOKUP($B$13,'Activity database'!$A:$AR,44,FALSE)))</f>
        <v>0</v>
      </c>
      <c r="S42" s="117"/>
      <c r="T42" s="87"/>
      <c r="U42" s="87"/>
      <c r="V42" s="87"/>
      <c r="W42" s="87"/>
      <c r="X42" s="87"/>
      <c r="Y42" s="87"/>
      <c r="Z42" s="87"/>
      <c r="AA42" s="87"/>
      <c r="AC42" s="117"/>
      <c r="AN42" s="117"/>
    </row>
    <row r="43" spans="1:40" ht="15" customHeight="1" x14ac:dyDescent="0.3">
      <c r="A43" s="87"/>
      <c r="B43" s="103" t="str">
        <f>'Activity database'!N3</f>
        <v>Shower use</v>
      </c>
      <c r="C43" s="94" t="s">
        <v>735</v>
      </c>
      <c r="D43" s="221"/>
      <c r="E43" s="104">
        <f>IF(F21="no",VLOOKUP($B$13,'Activity database'!$A:$AN,14,FALSE),VLOOKUP(B21,'Activity database'!A:BO,14,FALSE))</f>
        <v>0.154</v>
      </c>
      <c r="F43" s="94" t="str">
        <f>IF(Ind_act=Q129,"",VLOOKUP($B$13,'Activity database'!$A:$AN,30,FALSE))</f>
        <v/>
      </c>
      <c r="G43" s="92" t="str">
        <f>IF(Ind_act=Q129,Q137,D43*E43*F43)</f>
        <v>Requires building information</v>
      </c>
      <c r="I43" s="117"/>
      <c r="J43" s="117"/>
      <c r="K43" s="117"/>
      <c r="L43" s="117"/>
      <c r="M43" s="117"/>
      <c r="N43" s="96" t="str">
        <f t="shared" si="0"/>
        <v>Shower use</v>
      </c>
      <c r="O43" s="94">
        <f>IF($D$43="",0,'Activity database'!AU8)</f>
        <v>0</v>
      </c>
      <c r="P43" s="104">
        <f t="shared" si="1"/>
        <v>0.154</v>
      </c>
      <c r="Q43" s="104" t="str">
        <f t="shared" si="1"/>
        <v/>
      </c>
      <c r="R43" s="94">
        <f>IF($D$43="",0,O43*$P$43*$Q$43)</f>
        <v>0</v>
      </c>
      <c r="S43" s="117"/>
      <c r="T43" s="87"/>
      <c r="U43" s="87"/>
      <c r="V43" s="87"/>
      <c r="W43" s="87"/>
      <c r="X43" s="87"/>
      <c r="Y43" s="87"/>
      <c r="Z43" s="87"/>
      <c r="AA43" s="87"/>
      <c r="AC43" s="117"/>
      <c r="AN43" s="117"/>
    </row>
    <row r="44" spans="1:40" ht="15" hidden="1" customHeight="1" x14ac:dyDescent="0.3">
      <c r="A44" s="245" t="s">
        <v>736</v>
      </c>
      <c r="B44" s="96" t="str">
        <f>'Activity database'!O3</f>
        <v>Shower use (bath present)</v>
      </c>
      <c r="C44" s="97" t="s">
        <v>735</v>
      </c>
      <c r="D44" s="216"/>
      <c r="E44" s="99" t="e">
        <f>VLOOKUP($B$13,'Activity database'!$A:$AN,15,FALSE)</f>
        <v>#N/A</v>
      </c>
      <c r="F44" s="99" t="e">
        <f>VLOOKUP($B$13,'Activity database'!$A:$AN,31,FALSE)</f>
        <v>#N/A</v>
      </c>
      <c r="G44" s="100" t="e">
        <f>IF(E44="N/A",0,D44*E44*F44)</f>
        <v>#N/A</v>
      </c>
      <c r="H44" s="419" t="s">
        <v>736</v>
      </c>
      <c r="I44" s="117"/>
      <c r="J44" s="117"/>
      <c r="K44" s="117"/>
      <c r="L44" s="117"/>
      <c r="M44" s="117"/>
      <c r="N44" s="96" t="str">
        <f t="shared" si="0"/>
        <v>Shower use (bath present)</v>
      </c>
      <c r="O44" s="94">
        <f>IF($D$44="",0,'Activity database'!AU8)</f>
        <v>0</v>
      </c>
      <c r="P44" s="104" t="e">
        <f t="shared" si="1"/>
        <v>#N/A</v>
      </c>
      <c r="Q44" s="104" t="e">
        <f t="shared" si="1"/>
        <v>#N/A</v>
      </c>
      <c r="R44" s="94">
        <f>IF($D$44="",0,O44*$P$44*$Q$44)</f>
        <v>0</v>
      </c>
      <c r="S44" s="117"/>
      <c r="T44" s="87"/>
      <c r="U44" s="87"/>
      <c r="V44" s="87"/>
      <c r="W44" s="87"/>
      <c r="X44" s="87"/>
      <c r="Y44" s="87"/>
      <c r="Z44" s="87"/>
      <c r="AA44" s="87"/>
      <c r="AC44" s="117"/>
      <c r="AN44" s="117"/>
    </row>
    <row r="45" spans="1:40" ht="15" hidden="1" customHeight="1" x14ac:dyDescent="0.3">
      <c r="A45" s="245" t="s">
        <v>736</v>
      </c>
      <c r="B45" s="96" t="str">
        <f>'Activity database'!P3</f>
        <v xml:space="preserve">Bath use (no shower present) </v>
      </c>
      <c r="C45" s="97" t="s">
        <v>737</v>
      </c>
      <c r="D45" s="216"/>
      <c r="E45" s="99" t="e">
        <f>VLOOKUP($B$13,'Activity database'!$A:$AN,16,FALSE)</f>
        <v>#N/A</v>
      </c>
      <c r="F45" s="99" t="e">
        <f>VLOOKUP($B$13,'Activity database'!$A:$AN,32,FALSE)</f>
        <v>#N/A</v>
      </c>
      <c r="G45" s="100" t="e">
        <f>IF(E45="n/a",0,((D45*E45*F45)*'Activity database'!AQ4))</f>
        <v>#N/A</v>
      </c>
      <c r="H45" s="419" t="s">
        <v>736</v>
      </c>
      <c r="I45" s="117"/>
      <c r="J45" s="117"/>
      <c r="K45" s="117"/>
      <c r="L45" s="117"/>
      <c r="M45" s="117"/>
      <c r="N45" s="96" t="str">
        <f t="shared" si="0"/>
        <v xml:space="preserve">Bath use (no shower present) </v>
      </c>
      <c r="O45" s="94">
        <f>IF($D$45="",0,'Activity database'!AU9)</f>
        <v>0</v>
      </c>
      <c r="P45" s="94" t="e">
        <f t="shared" si="1"/>
        <v>#N/A</v>
      </c>
      <c r="Q45" s="94" t="e">
        <f t="shared" si="1"/>
        <v>#N/A</v>
      </c>
      <c r="R45" s="94">
        <f>IF($D$45="",0,((O45*$P$45*$Q$45)*(VLOOKUP($B$13,'Activity database'!$A:$AR,43,FALSE))))</f>
        <v>0</v>
      </c>
      <c r="S45" s="117"/>
      <c r="T45" s="87"/>
      <c r="U45" s="87"/>
      <c r="V45" s="87"/>
      <c r="W45" s="87"/>
      <c r="X45" s="87"/>
      <c r="Y45" s="87"/>
      <c r="Z45" s="87"/>
      <c r="AA45" s="87"/>
      <c r="AC45" s="117"/>
      <c r="AN45" s="117"/>
    </row>
    <row r="46" spans="1:40" ht="15" hidden="1" customHeight="1" x14ac:dyDescent="0.3">
      <c r="A46" s="245" t="s">
        <v>736</v>
      </c>
      <c r="B46" s="96" t="str">
        <f>'Activity database'!Q3</f>
        <v>Bath use (shower present)</v>
      </c>
      <c r="C46" s="97" t="s">
        <v>737</v>
      </c>
      <c r="D46" s="216"/>
      <c r="E46" s="99" t="e">
        <f>VLOOKUP($B$13,'Activity database'!$A:$AN,17,FALSE)</f>
        <v>#N/A</v>
      </c>
      <c r="F46" s="99" t="e">
        <f>VLOOKUP($B$13,'Activity database'!$A:$AN,33,FALSE)</f>
        <v>#N/A</v>
      </c>
      <c r="G46" s="100" t="e">
        <f>IF(E46="n/a",0,((D46*E46*F46)*'Activity database'!AQ4))</f>
        <v>#N/A</v>
      </c>
      <c r="H46" s="419" t="s">
        <v>736</v>
      </c>
      <c r="I46" s="117"/>
      <c r="J46" s="117"/>
      <c r="K46" s="117"/>
      <c r="L46" s="117"/>
      <c r="M46" s="117"/>
      <c r="N46" s="96" t="str">
        <f t="shared" si="0"/>
        <v>Bath use (shower present)</v>
      </c>
      <c r="O46" s="94">
        <f>IF($D$46="",0,'Activity database'!AU9)</f>
        <v>0</v>
      </c>
      <c r="P46" s="94" t="e">
        <f t="shared" si="1"/>
        <v>#N/A</v>
      </c>
      <c r="Q46" s="94" t="e">
        <f t="shared" si="1"/>
        <v>#N/A</v>
      </c>
      <c r="R46" s="94">
        <f>IF($D$46="",0,((O46*$P$46*$Q$46)*(VLOOKUP($B$13,'Activity database'!$A:$AR,43,FALSE))))</f>
        <v>0</v>
      </c>
      <c r="S46" s="117"/>
      <c r="T46" s="87"/>
      <c r="U46" s="87"/>
      <c r="V46" s="87"/>
      <c r="W46" s="87"/>
      <c r="X46" s="87"/>
      <c r="Y46" s="87"/>
      <c r="Z46" s="87"/>
      <c r="AA46" s="87"/>
      <c r="AC46" s="117"/>
      <c r="AN46" s="117"/>
    </row>
    <row r="47" spans="1:40" ht="15" customHeight="1" x14ac:dyDescent="0.3">
      <c r="A47" s="87"/>
      <c r="B47" s="162" t="str">
        <f>'Activity database'!X3</f>
        <v>Fixed use - vessel filling</v>
      </c>
      <c r="C47" s="163" t="s">
        <v>738</v>
      </c>
      <c r="D47" s="163" t="s">
        <v>515</v>
      </c>
      <c r="E47" s="164" t="s">
        <v>515</v>
      </c>
      <c r="F47" s="163" t="s">
        <v>515</v>
      </c>
      <c r="G47" s="165" t="str">
        <f>IF(Ind_act=Q129,Q137,IF(F21="yes",VLOOKUP(B13,'Activity database'!A:BA,24,FALSE)+VLOOKUP(B21,'Activity database'!A:BA,24,FALSE),VLOOKUP(B13,'Activity database'!A:BA,24,FALSE)))</f>
        <v>Requires building information</v>
      </c>
      <c r="H47" s="560"/>
      <c r="I47" s="544"/>
      <c r="J47" s="544"/>
      <c r="K47" s="544"/>
      <c r="L47" s="544"/>
      <c r="M47" s="544"/>
      <c r="N47" s="103" t="str">
        <f t="shared" si="0"/>
        <v>Fixed use - vessel filling</v>
      </c>
      <c r="O47" s="163" t="s">
        <v>517</v>
      </c>
      <c r="P47" s="163" t="s">
        <v>517</v>
      </c>
      <c r="Q47" s="163" t="s">
        <v>517</v>
      </c>
      <c r="R47" s="163" t="str">
        <f>$G$47</f>
        <v>Requires building information</v>
      </c>
      <c r="S47" s="117"/>
      <c r="T47" s="87"/>
      <c r="U47" s="87"/>
      <c r="V47" s="87"/>
      <c r="W47" s="87"/>
      <c r="X47" s="87"/>
      <c r="Y47" s="87"/>
      <c r="Z47" s="87"/>
      <c r="AA47" s="87"/>
      <c r="AC47" s="117"/>
      <c r="AN47" s="117"/>
    </row>
    <row r="48" spans="1:40" ht="25" customHeight="1" x14ac:dyDescent="0.3">
      <c r="A48" s="87"/>
      <c r="B48" s="454" t="s">
        <v>739</v>
      </c>
      <c r="C48" s="452"/>
      <c r="D48" s="452"/>
      <c r="E48" s="452"/>
      <c r="F48" s="452"/>
      <c r="G48" s="453"/>
      <c r="H48" s="560"/>
      <c r="I48" s="544"/>
      <c r="J48" s="544"/>
      <c r="K48" s="544"/>
      <c r="L48" s="544"/>
      <c r="M48" s="544"/>
      <c r="N48" s="283" t="s">
        <v>739</v>
      </c>
      <c r="O48" s="281"/>
      <c r="P48" s="281"/>
      <c r="Q48" s="281"/>
      <c r="R48" s="282"/>
      <c r="S48" s="117"/>
      <c r="T48" s="87"/>
      <c r="U48" s="87"/>
      <c r="V48" s="87"/>
      <c r="W48" s="87"/>
      <c r="X48" s="87"/>
      <c r="Y48" s="87"/>
      <c r="Z48" s="87"/>
      <c r="AA48" s="87"/>
      <c r="AC48" s="117"/>
      <c r="AN48" s="117"/>
    </row>
    <row r="49" spans="1:40" ht="15" customHeight="1" x14ac:dyDescent="0.3">
      <c r="A49" s="87"/>
      <c r="B49" s="166" t="str">
        <f>'Activity database'!R3</f>
        <v>Kitchen taps - kitchenette</v>
      </c>
      <c r="C49" s="167" t="s">
        <v>735</v>
      </c>
      <c r="D49" s="223"/>
      <c r="E49" s="167">
        <f>VLOOKUP($B$19,'Activity database'!$A:$AN,18,FALSE)</f>
        <v>1</v>
      </c>
      <c r="F49" s="167">
        <f>VLOOKUP($B$19,'Activity database'!$A:$AN,34,FALSE)</f>
        <v>0.67</v>
      </c>
      <c r="G49" s="168" t="str">
        <f>IF(Ind_act=Q129,Q137,(D49*E49*F49)*(VLOOKUP(B13,'Activity database'!A:AR,44,FALSE)))</f>
        <v>Requires building information</v>
      </c>
      <c r="I49" s="117"/>
      <c r="J49" s="117"/>
      <c r="K49" s="117"/>
      <c r="L49" s="117"/>
      <c r="M49" s="117"/>
      <c r="N49" s="277" t="str">
        <f>B49</f>
        <v>Kitchen taps - kitchenette</v>
      </c>
      <c r="O49" s="167">
        <f>IF($D$49="",0,VLOOKUP($N$49,'Activity database'!$AT:$BA,2,FALSE))</f>
        <v>0</v>
      </c>
      <c r="P49" s="167">
        <f>E49</f>
        <v>1</v>
      </c>
      <c r="Q49" s="167">
        <f>F49</f>
        <v>0.67</v>
      </c>
      <c r="R49" s="167">
        <f>IF($D$49="",0,(O49*$P$49*$Q$49)*(VLOOKUP($B$13,'Activity database'!$A:$AR,44,FALSE)))</f>
        <v>0</v>
      </c>
      <c r="S49" s="117"/>
      <c r="T49" s="87"/>
      <c r="U49" s="87"/>
      <c r="V49" s="87"/>
      <c r="W49" s="87"/>
      <c r="X49" s="87"/>
      <c r="Y49" s="87"/>
      <c r="Z49" s="87"/>
      <c r="AA49" s="87"/>
      <c r="AC49" s="117"/>
      <c r="AN49" s="117"/>
    </row>
    <row r="50" spans="1:40" ht="15" customHeight="1" x14ac:dyDescent="0.3">
      <c r="A50" s="87"/>
      <c r="B50" s="103" t="str">
        <f>'Activity database'!U3</f>
        <v>Dishwasher</v>
      </c>
      <c r="C50" s="94" t="s">
        <v>740</v>
      </c>
      <c r="D50" s="224"/>
      <c r="E50" s="97">
        <f>VLOOKUP($B$19,'Activity database'!$A:$AN,21,FALSE)</f>
        <v>0.04</v>
      </c>
      <c r="F50" s="97">
        <f>VLOOKUP($B$19,'Activity database'!$A:$AN,37,FALSE)</f>
        <v>1</v>
      </c>
      <c r="G50" s="94" t="str">
        <f>IF(Ind_act=Q129,Q137,D50*E50*F50)</f>
        <v>Requires building information</v>
      </c>
      <c r="I50" s="117"/>
      <c r="J50" s="117"/>
      <c r="K50" s="117"/>
      <c r="L50" s="117"/>
      <c r="M50" s="117"/>
      <c r="N50" s="96" t="str">
        <f>B50</f>
        <v>Dishwasher</v>
      </c>
      <c r="O50" s="94">
        <f>IF($D$50="",0,'Activity database'!AU16)</f>
        <v>0</v>
      </c>
      <c r="P50" s="94">
        <f>E50</f>
        <v>0.04</v>
      </c>
      <c r="Q50" s="94">
        <f>F50</f>
        <v>1</v>
      </c>
      <c r="R50" s="94">
        <f>O50*$P$50*$Q$50</f>
        <v>0</v>
      </c>
      <c r="S50" s="117"/>
      <c r="T50" s="87"/>
      <c r="U50" s="87"/>
      <c r="V50" s="87"/>
      <c r="W50" s="87"/>
      <c r="X50" s="87"/>
      <c r="Y50" s="87"/>
      <c r="Z50" s="87"/>
      <c r="AA50" s="87"/>
      <c r="AC50" s="117"/>
      <c r="AN50" s="117"/>
    </row>
    <row r="51" spans="1:40" ht="25" customHeight="1" x14ac:dyDescent="0.3">
      <c r="A51" s="87"/>
      <c r="B51" s="446" t="s">
        <v>741</v>
      </c>
      <c r="C51" s="452"/>
      <c r="D51" s="452"/>
      <c r="E51" s="452"/>
      <c r="F51" s="452"/>
      <c r="G51" s="453"/>
      <c r="I51" s="117"/>
      <c r="J51" s="117"/>
      <c r="K51" s="117"/>
      <c r="L51" s="117"/>
      <c r="M51" s="117"/>
      <c r="N51" s="273" t="s">
        <v>832</v>
      </c>
      <c r="O51" s="281"/>
      <c r="P51" s="281"/>
      <c r="Q51" s="281"/>
      <c r="R51" s="282"/>
      <c r="S51" s="117"/>
      <c r="T51" s="87"/>
      <c r="U51" s="87"/>
      <c r="V51" s="87"/>
      <c r="W51" s="87"/>
      <c r="X51" s="87"/>
      <c r="Y51" s="87"/>
      <c r="Z51" s="87"/>
      <c r="AA51" s="87"/>
      <c r="AC51" s="117"/>
      <c r="AN51" s="117"/>
    </row>
    <row r="52" spans="1:40" ht="15" customHeight="1" x14ac:dyDescent="0.3">
      <c r="A52" s="87"/>
      <c r="B52" s="103" t="str">
        <f>'Activity database'!S3</f>
        <v>Kitchen taps - pre-rinse nozzle</v>
      </c>
      <c r="C52" s="102" t="s">
        <v>735</v>
      </c>
      <c r="D52" s="224"/>
      <c r="E52" s="97" t="s">
        <v>515</v>
      </c>
      <c r="F52" s="97">
        <f>VLOOKUP($B$20,'Activity database'!A:BO,35,FALSE)</f>
        <v>60</v>
      </c>
      <c r="G52" s="94" t="str">
        <f>IF(ISERROR((D52*F52)/O137),Q137,((D52*F52)/O137))</f>
        <v>Requires building information</v>
      </c>
      <c r="I52" s="117"/>
      <c r="J52" s="117"/>
      <c r="K52" s="117"/>
      <c r="L52" s="117"/>
      <c r="M52" s="117"/>
      <c r="N52" s="96" t="str">
        <f t="shared" ref="N52:N57" si="2">B52</f>
        <v>Kitchen taps - pre-rinse nozzle</v>
      </c>
      <c r="O52" s="94">
        <f>IF($D$52="",0,VLOOKUP($N$52,'Activity database'!$AT:$BA,2,FALSE))</f>
        <v>0</v>
      </c>
      <c r="P52" s="94" t="str">
        <f t="shared" ref="P52:Q55" si="3">E52</f>
        <v>-</v>
      </c>
      <c r="Q52" s="94">
        <f t="shared" si="3"/>
        <v>60</v>
      </c>
      <c r="R52" s="94">
        <f>IF($D$52="",0,(O52*$Q$52)/$O$137)</f>
        <v>0</v>
      </c>
      <c r="S52" s="117"/>
      <c r="T52" s="87"/>
      <c r="U52" s="87"/>
      <c r="V52" s="87"/>
      <c r="W52" s="87"/>
      <c r="X52" s="87"/>
      <c r="Y52" s="87"/>
      <c r="Z52" s="87"/>
      <c r="AA52" s="87"/>
      <c r="AC52" s="117"/>
      <c r="AN52" s="117"/>
    </row>
    <row r="53" spans="1:40" ht="15" customHeight="1" x14ac:dyDescent="0.3">
      <c r="A53" s="87"/>
      <c r="B53" s="103" t="str">
        <f>'Activity database'!U3</f>
        <v>Dishwasher</v>
      </c>
      <c r="C53" s="102" t="s">
        <v>742</v>
      </c>
      <c r="D53" s="224"/>
      <c r="E53" s="97" t="s">
        <v>515</v>
      </c>
      <c r="F53" s="98">
        <f>VLOOKUP($B$20,'Activity database'!A:BO,37,FALSE)</f>
        <v>0.20100000000000001</v>
      </c>
      <c r="G53" s="94" t="str">
        <f>IF(ISERROR((F53*G20*D53)/O137),Q137,((F53*G20*D53)/O137))</f>
        <v>Requires building information</v>
      </c>
      <c r="I53" s="117"/>
      <c r="J53" s="117"/>
      <c r="K53" s="117"/>
      <c r="L53" s="117"/>
      <c r="M53" s="117"/>
      <c r="N53" s="96" t="str">
        <f t="shared" si="2"/>
        <v>Dishwasher</v>
      </c>
      <c r="O53" s="94">
        <f>IF($D$53="",0,'Activity database'!AU19)</f>
        <v>0</v>
      </c>
      <c r="P53" s="94" t="str">
        <f t="shared" si="3"/>
        <v>-</v>
      </c>
      <c r="Q53" s="94">
        <f t="shared" si="3"/>
        <v>0.20100000000000001</v>
      </c>
      <c r="R53" s="94">
        <f>IF($D$53="",0,($Q$53*$G$20*O53)/$O$137)</f>
        <v>0</v>
      </c>
      <c r="S53" s="117"/>
      <c r="T53" s="87"/>
      <c r="U53" s="87"/>
      <c r="V53" s="87"/>
      <c r="W53" s="87"/>
      <c r="X53" s="87"/>
      <c r="Y53" s="87"/>
      <c r="Z53" s="87"/>
      <c r="AA53" s="87"/>
      <c r="AC53" s="117"/>
      <c r="AN53" s="117"/>
    </row>
    <row r="54" spans="1:40" ht="15" customHeight="1" x14ac:dyDescent="0.3">
      <c r="A54" s="87"/>
      <c r="B54" s="103" t="str">
        <f>'Activity database'!W3</f>
        <v>Waste disposal unit</v>
      </c>
      <c r="C54" s="102" t="s">
        <v>735</v>
      </c>
      <c r="D54" s="224"/>
      <c r="E54" s="97" t="s">
        <v>515</v>
      </c>
      <c r="F54" s="97">
        <f>VLOOKUP($B$20,'Activity database'!A:BO,39,FALSE)</f>
        <v>30</v>
      </c>
      <c r="G54" s="94" t="str">
        <f>IF(ISERROR((D54*F54)/O137),Q137,((D54*F54)/O137))</f>
        <v>Requires building information</v>
      </c>
      <c r="I54" s="117"/>
      <c r="J54" s="117"/>
      <c r="K54" s="117"/>
      <c r="L54" s="117"/>
      <c r="M54" s="117"/>
      <c r="N54" s="96" t="str">
        <f t="shared" si="2"/>
        <v>Waste disposal unit</v>
      </c>
      <c r="O54" s="94">
        <f>IF($D$54="",0,VLOOKUP($N$54,'Activity database'!$AT:$BA,2,FALSE))</f>
        <v>0</v>
      </c>
      <c r="P54" s="94" t="str">
        <f t="shared" si="3"/>
        <v>-</v>
      </c>
      <c r="Q54" s="94">
        <f t="shared" si="3"/>
        <v>30</v>
      </c>
      <c r="R54" s="94">
        <f>IF($D$54="",0,(O54*$Q$54)/$O$137)</f>
        <v>0</v>
      </c>
      <c r="S54" s="117"/>
      <c r="T54" s="87"/>
      <c r="U54" s="87"/>
      <c r="V54" s="87"/>
      <c r="W54" s="87"/>
      <c r="X54" s="87"/>
      <c r="Y54" s="87"/>
      <c r="Z54" s="87"/>
      <c r="AA54" s="87"/>
      <c r="AC54" s="117"/>
      <c r="AN54" s="117"/>
    </row>
    <row r="55" spans="1:40" ht="15" hidden="1" customHeight="1" x14ac:dyDescent="0.3">
      <c r="A55" s="268" t="s">
        <v>842</v>
      </c>
      <c r="B55" s="103" t="str">
        <f>'Activity database'!V3</f>
        <v>Washing machine</v>
      </c>
      <c r="C55" s="102" t="s">
        <v>744</v>
      </c>
      <c r="D55" s="217"/>
      <c r="E55" s="97" t="e">
        <f>VLOOKUP($B$13,'Activity database'!$A:$AN,22,FALSE)</f>
        <v>#N/A</v>
      </c>
      <c r="F55" s="97" t="e">
        <f>VLOOKUP($B$13,'Activity database'!$A:$AN,38,FALSE)</f>
        <v>#N/A</v>
      </c>
      <c r="G55" s="94" t="str">
        <f>IF(ISERROR(IF(E55="N/A",0,IF(F20="Yes",(D55*E55*F55),0))),Q137,IF(E55="N/A",0,IF(F20="Yes",(D55*E55*F55),0)))</f>
        <v>Requires building information</v>
      </c>
      <c r="H55" s="87" t="s">
        <v>842</v>
      </c>
      <c r="I55" s="117"/>
      <c r="J55" s="117"/>
      <c r="K55" s="117"/>
      <c r="L55" s="117"/>
      <c r="M55" s="117"/>
      <c r="N55" s="96" t="str">
        <f t="shared" si="2"/>
        <v>Washing machine</v>
      </c>
      <c r="O55" s="94">
        <f>IF($D$55="",0,'Activity database'!AU20)</f>
        <v>0</v>
      </c>
      <c r="P55" s="94" t="e">
        <f t="shared" si="3"/>
        <v>#N/A</v>
      </c>
      <c r="Q55" s="94" t="e">
        <f t="shared" si="3"/>
        <v>#N/A</v>
      </c>
      <c r="R55" s="94">
        <f>IF($D$55="",0,IF($F$20="Yes",(O55*$P$55*$Q$55)))</f>
        <v>0</v>
      </c>
      <c r="S55" s="117"/>
      <c r="T55" s="87"/>
      <c r="U55" s="87"/>
      <c r="V55" s="87"/>
      <c r="W55" s="87"/>
      <c r="X55" s="87"/>
      <c r="Y55" s="87"/>
      <c r="Z55" s="87"/>
      <c r="AA55" s="87"/>
      <c r="AC55" s="117"/>
      <c r="AN55" s="117"/>
    </row>
    <row r="56" spans="1:40" ht="15" customHeight="1" x14ac:dyDescent="0.3">
      <c r="A56" s="87"/>
      <c r="B56" s="103" t="str">
        <f>'Activity database'!Y3</f>
        <v>Fixed use - food preparation</v>
      </c>
      <c r="C56" s="102" t="s">
        <v>738</v>
      </c>
      <c r="D56" s="97" t="s">
        <v>515</v>
      </c>
      <c r="E56" s="97" t="s">
        <v>515</v>
      </c>
      <c r="F56" s="97" t="s">
        <v>515</v>
      </c>
      <c r="G56" s="94" t="str">
        <f>IF(Ind_act=Q129,Q137,IF(ISERROR(IF(F20="Yes",(VLOOKUP(B20,'Activity database'!A:BO,25,FALSE)/O137),0)),Q137,IF(F20="Yes",(VLOOKUP(B20,'Activity database'!A:BO,25,FALSE)/O137),0)))</f>
        <v>Requires building information</v>
      </c>
      <c r="H56" s="560"/>
      <c r="I56" s="544"/>
      <c r="J56" s="544"/>
      <c r="K56" s="544"/>
      <c r="L56" s="544"/>
      <c r="M56" s="544"/>
      <c r="N56" s="96" t="str">
        <f t="shared" si="2"/>
        <v>Fixed use - food preparation</v>
      </c>
      <c r="O56" s="94" t="s">
        <v>517</v>
      </c>
      <c r="P56" s="94" t="str">
        <f>E56</f>
        <v>-</v>
      </c>
      <c r="Q56" s="94" t="s">
        <v>517</v>
      </c>
      <c r="R56" s="94" t="str">
        <f>$G$56</f>
        <v>Requires building information</v>
      </c>
      <c r="S56" s="117"/>
      <c r="T56" s="87"/>
      <c r="U56" s="87"/>
      <c r="V56" s="87"/>
      <c r="W56" s="87"/>
      <c r="X56" s="87"/>
      <c r="Y56" s="87"/>
      <c r="Z56" s="87"/>
      <c r="AA56" s="87"/>
      <c r="AC56" s="117"/>
      <c r="AN56" s="117"/>
    </row>
    <row r="57" spans="1:40" ht="15" customHeight="1" x14ac:dyDescent="0.3">
      <c r="A57" s="87"/>
      <c r="B57" s="103" t="str">
        <f>'Activity database'!Z3</f>
        <v>Fixed use - kitchen cleaning</v>
      </c>
      <c r="C57" s="102" t="s">
        <v>738</v>
      </c>
      <c r="D57" s="97" t="s">
        <v>515</v>
      </c>
      <c r="E57" s="97" t="s">
        <v>515</v>
      </c>
      <c r="F57" s="97" t="s">
        <v>515</v>
      </c>
      <c r="G57" s="94" t="str">
        <f>IF(Ind_act=Q129,Q137,IF(ISERROR(IF(F20="Yes",(VLOOKUP(B20,'Activity database'!A:BO,26,FALSE)/O137),0)),Q137,IF(F20="Yes",(VLOOKUP(B20,'Activity database'!A:BO,26,FALSE)/O137),0)))</f>
        <v>Requires building information</v>
      </c>
      <c r="H57" s="560"/>
      <c r="I57" s="544"/>
      <c r="J57" s="544"/>
      <c r="K57" s="544"/>
      <c r="L57" s="544"/>
      <c r="M57" s="544"/>
      <c r="N57" s="96" t="str">
        <f t="shared" si="2"/>
        <v>Fixed use - kitchen cleaning</v>
      </c>
      <c r="O57" s="94" t="s">
        <v>517</v>
      </c>
      <c r="P57" s="94" t="str">
        <f>E57</f>
        <v>-</v>
      </c>
      <c r="Q57" s="94" t="s">
        <v>517</v>
      </c>
      <c r="R57" s="94" t="str">
        <f>$G$57</f>
        <v>Requires building information</v>
      </c>
      <c r="S57" s="117"/>
      <c r="T57" s="87"/>
      <c r="U57" s="87"/>
      <c r="V57" s="87"/>
      <c r="W57" s="87"/>
      <c r="X57" s="87"/>
      <c r="Y57" s="87"/>
      <c r="Z57" s="87"/>
      <c r="AA57" s="87"/>
      <c r="AC57" s="117"/>
      <c r="AN57" s="117"/>
    </row>
    <row r="58" spans="1:40" ht="15" customHeight="1" x14ac:dyDescent="0.3">
      <c r="A58" s="87"/>
      <c r="B58" s="87"/>
      <c r="C58" s="87"/>
      <c r="D58" s="87"/>
      <c r="E58" s="87"/>
      <c r="F58" s="87"/>
      <c r="G58" s="87"/>
      <c r="I58" s="117"/>
      <c r="J58" s="117"/>
      <c r="K58" s="117"/>
      <c r="L58" s="117"/>
      <c r="M58" s="117"/>
      <c r="N58" s="117"/>
      <c r="O58" s="117"/>
      <c r="P58" s="117"/>
      <c r="Q58" s="117"/>
      <c r="R58" s="117"/>
      <c r="S58" s="117"/>
      <c r="T58" s="87"/>
      <c r="U58" s="87"/>
      <c r="V58" s="87"/>
      <c r="W58" s="87"/>
      <c r="X58" s="87"/>
      <c r="Y58" s="87"/>
      <c r="Z58" s="87"/>
      <c r="AA58" s="87"/>
      <c r="AC58" s="117"/>
      <c r="AN58" s="117"/>
    </row>
    <row r="59" spans="1:40" ht="25" customHeight="1" x14ac:dyDescent="0.3">
      <c r="A59" s="87"/>
      <c r="B59" s="87"/>
      <c r="C59" s="87"/>
      <c r="D59" s="87"/>
      <c r="E59" s="87"/>
      <c r="F59" s="87"/>
      <c r="G59" s="444" t="s">
        <v>745</v>
      </c>
      <c r="H59" s="545" t="s">
        <v>746</v>
      </c>
      <c r="I59" s="545"/>
      <c r="J59" s="545"/>
      <c r="K59" s="545"/>
      <c r="L59" s="545"/>
      <c r="M59" s="545"/>
      <c r="N59" s="117"/>
      <c r="O59" s="117"/>
      <c r="P59" s="117"/>
      <c r="Q59" s="87"/>
      <c r="R59" s="111" t="s">
        <v>719</v>
      </c>
      <c r="S59" s="117"/>
      <c r="T59" s="87"/>
      <c r="U59" s="87"/>
      <c r="V59" s="87"/>
      <c r="W59" s="87"/>
      <c r="X59" s="87"/>
      <c r="Y59" s="87"/>
      <c r="Z59" s="87"/>
      <c r="AA59" s="87"/>
      <c r="AC59" s="117"/>
      <c r="AN59" s="117"/>
    </row>
    <row r="60" spans="1:40" ht="15" customHeight="1" x14ac:dyDescent="0.3">
      <c r="A60" s="87"/>
      <c r="B60" s="87"/>
      <c r="C60" s="87"/>
      <c r="D60" s="87"/>
      <c r="E60" s="87"/>
      <c r="F60" s="113" t="s">
        <v>748</v>
      </c>
      <c r="G60" s="92" t="str">
        <f>IF(ISERROR(IF(OR(G27=Q137,AND(F16=Q131,F17=Q131,F18=Q131,F19=Q131,F20=Q131,F21=Q131)),Q137,(SUM(G27:G28)+G31+G34+G37+SUM(G42:G47)+SUM(G49:G50)+SUM(G52:G57)))),Q137,IF(OR(G27=Q137,AND(F16=Q131,F17=Q131,F18=Q131,F19=Q131,F20=Q131,F21=Q131)),Q137,(SUM(G27:G28)+G31+G34+G37+SUM(G42:G47)+SUM(G49:G50)+SUM(G52:G57))))</f>
        <v>Requires building information</v>
      </c>
      <c r="H60" s="545"/>
      <c r="I60" s="545"/>
      <c r="J60" s="545"/>
      <c r="K60" s="545"/>
      <c r="L60" s="545"/>
      <c r="M60" s="545"/>
      <c r="N60" s="117"/>
      <c r="O60" s="117"/>
      <c r="P60" s="117"/>
      <c r="Q60" s="113" t="s">
        <v>749</v>
      </c>
      <c r="R60" s="92" t="e">
        <f>SUM(R27+R28)+R31+R34+R37+SUM(R42:R47)+SUM(R49:R50)+SUM(R52:R57)-R63</f>
        <v>#N/A</v>
      </c>
      <c r="S60" s="117"/>
      <c r="T60" s="87"/>
      <c r="U60" s="87"/>
      <c r="V60" s="87"/>
      <c r="W60" s="87"/>
      <c r="X60" s="87"/>
      <c r="Y60" s="87"/>
      <c r="Z60" s="87"/>
      <c r="AA60" s="87"/>
      <c r="AC60" s="117"/>
      <c r="AN60" s="117"/>
    </row>
    <row r="61" spans="1:40" ht="25" customHeight="1" x14ac:dyDescent="0.3">
      <c r="A61" s="87"/>
      <c r="B61" s="87"/>
      <c r="C61" s="87"/>
      <c r="D61" s="110"/>
      <c r="E61" s="110"/>
      <c r="F61" s="110"/>
      <c r="G61" s="88"/>
      <c r="H61" s="545"/>
      <c r="I61" s="545"/>
      <c r="J61" s="545"/>
      <c r="K61" s="545"/>
      <c r="L61" s="545"/>
      <c r="M61" s="545"/>
      <c r="N61" s="117"/>
      <c r="O61" s="122"/>
      <c r="P61" s="122"/>
      <c r="Q61" s="122"/>
      <c r="R61" s="122"/>
      <c r="S61" s="117"/>
      <c r="T61" s="87"/>
      <c r="U61" s="87"/>
      <c r="V61" s="87"/>
      <c r="W61" s="87"/>
      <c r="X61" s="87"/>
      <c r="Y61" s="87"/>
      <c r="Z61" s="87"/>
      <c r="AA61" s="87"/>
      <c r="AC61" s="117"/>
      <c r="AN61" s="117"/>
    </row>
    <row r="62" spans="1:40" ht="32.15" customHeight="1" x14ac:dyDescent="0.3">
      <c r="A62" s="87"/>
      <c r="B62" s="422" t="s">
        <v>750</v>
      </c>
      <c r="C62" s="422"/>
      <c r="D62" s="422"/>
      <c r="E62" s="422"/>
      <c r="F62" s="422"/>
      <c r="G62" s="422"/>
      <c r="H62" s="320"/>
      <c r="I62" s="320"/>
      <c r="J62" s="320"/>
      <c r="K62" s="320"/>
      <c r="L62" s="320"/>
      <c r="M62" s="320"/>
      <c r="N62" s="87"/>
      <c r="O62" s="87"/>
      <c r="P62" s="87"/>
      <c r="Q62" s="87"/>
      <c r="R62" s="111" t="s">
        <v>751</v>
      </c>
      <c r="S62" s="117"/>
      <c r="T62" s="87"/>
      <c r="U62" s="87"/>
      <c r="V62" s="87"/>
      <c r="W62" s="87"/>
      <c r="X62" s="87"/>
      <c r="Y62" s="87"/>
      <c r="Z62" s="87"/>
      <c r="AA62" s="87"/>
      <c r="AC62" s="117"/>
      <c r="AN62" s="117"/>
    </row>
    <row r="63" spans="1:40" ht="25" customHeight="1" x14ac:dyDescent="0.3">
      <c r="A63" s="87"/>
      <c r="B63" s="87"/>
      <c r="C63" s="87"/>
      <c r="D63" s="87"/>
      <c r="E63" s="87"/>
      <c r="F63" s="87"/>
      <c r="G63" s="88"/>
      <c r="I63" s="117"/>
      <c r="J63" s="117"/>
      <c r="K63" s="117"/>
      <c r="L63" s="117"/>
      <c r="M63" s="117"/>
      <c r="N63" s="87"/>
      <c r="O63" s="87"/>
      <c r="P63" s="117"/>
      <c r="Q63" s="253" t="s">
        <v>749</v>
      </c>
      <c r="R63" s="92" t="e">
        <f>R47+R56+R57</f>
        <v>#VALUE!</v>
      </c>
      <c r="S63" s="117"/>
      <c r="T63" s="87"/>
      <c r="U63" s="87"/>
      <c r="V63" s="87"/>
      <c r="W63" s="87"/>
      <c r="X63" s="87"/>
      <c r="Y63" s="87"/>
      <c r="Z63" s="87"/>
      <c r="AA63" s="87"/>
      <c r="AC63" s="117"/>
      <c r="AN63" s="117"/>
    </row>
    <row r="64" spans="1:40" ht="15" customHeight="1" x14ac:dyDescent="0.3">
      <c r="A64" s="293" t="str">
        <f>IF(G64=$Q$129,"&gt;","")</f>
        <v>&gt;</v>
      </c>
      <c r="B64" s="89"/>
      <c r="C64" s="105"/>
      <c r="D64" s="106"/>
      <c r="E64" s="106"/>
      <c r="F64" s="107" t="s">
        <v>843</v>
      </c>
      <c r="G64" s="225" t="s">
        <v>699</v>
      </c>
      <c r="I64" s="117"/>
      <c r="J64" s="117"/>
      <c r="K64" s="117"/>
      <c r="L64" s="117"/>
      <c r="M64" s="117"/>
      <c r="N64" s="87"/>
      <c r="O64" s="87"/>
      <c r="P64" s="117"/>
      <c r="Q64" s="117"/>
      <c r="R64" s="117"/>
      <c r="S64" s="117"/>
      <c r="T64" s="87"/>
      <c r="U64" s="87"/>
      <c r="V64" s="87"/>
      <c r="W64" s="87"/>
      <c r="X64" s="87"/>
      <c r="Y64" s="87"/>
      <c r="Z64" s="87"/>
      <c r="AA64" s="87"/>
      <c r="AC64" s="117"/>
      <c r="AN64" s="117"/>
    </row>
    <row r="65" spans="1:40" ht="12" customHeight="1" x14ac:dyDescent="0.3">
      <c r="A65" s="87"/>
      <c r="B65" s="87"/>
      <c r="C65" s="114"/>
      <c r="D65" s="87"/>
      <c r="E65" s="87"/>
      <c r="F65" s="87"/>
      <c r="G65" s="88"/>
      <c r="I65" s="117"/>
      <c r="J65" s="117"/>
      <c r="K65" s="117"/>
      <c r="L65" s="117"/>
      <c r="M65" s="117"/>
      <c r="N65" s="87"/>
      <c r="O65" s="87"/>
      <c r="P65" s="117"/>
      <c r="Q65" s="117"/>
      <c r="R65" s="117"/>
      <c r="S65" s="117"/>
      <c r="T65" s="87"/>
      <c r="U65" s="87"/>
      <c r="V65" s="87"/>
      <c r="W65" s="87"/>
      <c r="X65" s="87"/>
      <c r="Y65" s="87"/>
      <c r="Z65" s="87"/>
      <c r="AA65" s="87"/>
      <c r="AC65" s="117"/>
      <c r="AN65" s="117"/>
    </row>
    <row r="66" spans="1:40" ht="25" customHeight="1" x14ac:dyDescent="0.3">
      <c r="A66" s="87"/>
      <c r="B66" s="87"/>
      <c r="C66" s="446" t="s">
        <v>754</v>
      </c>
      <c r="D66" s="444"/>
      <c r="E66" s="444" t="s">
        <v>755</v>
      </c>
      <c r="F66" s="444" t="s">
        <v>756</v>
      </c>
      <c r="G66" s="444" t="s">
        <v>757</v>
      </c>
      <c r="I66" s="117"/>
      <c r="J66" s="117"/>
      <c r="K66" s="117"/>
      <c r="L66" s="117"/>
      <c r="M66" s="117"/>
      <c r="N66" s="87"/>
      <c r="O66" s="87"/>
      <c r="P66" s="117"/>
      <c r="Q66" s="117"/>
      <c r="R66" s="117"/>
      <c r="S66" s="117"/>
      <c r="T66" s="87"/>
      <c r="U66" s="87"/>
      <c r="V66" s="87"/>
      <c r="W66" s="87"/>
      <c r="X66" s="87"/>
      <c r="Y66" s="87"/>
      <c r="Z66" s="87"/>
      <c r="AA66" s="87"/>
      <c r="AC66" s="117"/>
      <c r="AN66" s="117"/>
    </row>
    <row r="67" spans="1:40" ht="15" customHeight="1" x14ac:dyDescent="0.3">
      <c r="A67" s="87"/>
      <c r="B67" s="293" t="str">
        <f t="shared" ref="B67:B72" si="4">IF(AND($G$64=$Q$130,E67=""),"&gt;",IF(AND($G$64=$Q$130,E67=$Q$130,F67=""),"&gt;",""))</f>
        <v/>
      </c>
      <c r="C67" s="96" t="str">
        <f>B42</f>
        <v>Wash hand basin taps</v>
      </c>
      <c r="D67" s="134"/>
      <c r="E67" s="218"/>
      <c r="F67" s="226"/>
      <c r="G67" s="94">
        <f>IF(OR(E67=$Q$131,E67=""),0,G42*F67)</f>
        <v>0</v>
      </c>
      <c r="I67" s="117"/>
      <c r="J67" s="117"/>
      <c r="K67" s="117"/>
      <c r="L67" s="117"/>
      <c r="M67" s="117"/>
      <c r="N67" s="117"/>
      <c r="O67" s="117"/>
      <c r="P67" s="117"/>
      <c r="Q67" s="117"/>
      <c r="R67" s="117"/>
      <c r="S67" s="117"/>
      <c r="T67" s="87"/>
      <c r="U67" s="87"/>
      <c r="V67" s="87"/>
      <c r="W67" s="87"/>
      <c r="X67" s="87"/>
      <c r="Y67" s="87"/>
      <c r="Z67" s="87"/>
      <c r="AA67" s="87"/>
      <c r="AC67" s="117"/>
      <c r="AN67" s="117"/>
    </row>
    <row r="68" spans="1:40" ht="15" customHeight="1" x14ac:dyDescent="0.3">
      <c r="A68" s="87"/>
      <c r="B68" s="293" t="str">
        <f t="shared" si="4"/>
        <v/>
      </c>
      <c r="C68" s="96" t="s">
        <v>537</v>
      </c>
      <c r="D68" s="134"/>
      <c r="E68" s="218"/>
      <c r="F68" s="226"/>
      <c r="G68" s="94">
        <f>IF(OR(E68=$Q$131,E68=""),0,(SUM(G43:G44)*F68))</f>
        <v>0</v>
      </c>
      <c r="I68" s="117"/>
      <c r="J68" s="117"/>
      <c r="K68" s="117"/>
      <c r="L68" s="117"/>
      <c r="M68" s="117"/>
      <c r="N68" s="117"/>
      <c r="O68" s="117"/>
      <c r="P68" s="117"/>
      <c r="Q68" s="117"/>
      <c r="R68" s="117"/>
      <c r="S68" s="117"/>
      <c r="T68" s="87"/>
      <c r="U68" s="87"/>
      <c r="V68" s="87"/>
      <c r="W68" s="87"/>
      <c r="X68" s="87"/>
      <c r="Y68" s="87"/>
      <c r="Z68" s="87"/>
      <c r="AA68" s="87"/>
      <c r="AB68" s="122"/>
      <c r="AC68" s="117"/>
      <c r="AN68" s="117"/>
    </row>
    <row r="69" spans="1:40" ht="15" customHeight="1" x14ac:dyDescent="0.3">
      <c r="A69" s="87"/>
      <c r="B69" s="293" t="str">
        <f t="shared" si="4"/>
        <v/>
      </c>
      <c r="C69" s="96" t="str">
        <f>B49</f>
        <v>Kitchen taps - kitchenette</v>
      </c>
      <c r="D69" s="134"/>
      <c r="E69" s="224"/>
      <c r="F69" s="226"/>
      <c r="G69" s="94">
        <f>IF(OR(E69=$Q$131,E69=""),0,G49*F69)</f>
        <v>0</v>
      </c>
      <c r="I69" s="117"/>
      <c r="J69" s="117"/>
      <c r="K69" s="117"/>
      <c r="L69" s="117"/>
      <c r="M69" s="117"/>
      <c r="N69" s="117"/>
      <c r="O69" s="117"/>
      <c r="P69" s="117"/>
      <c r="Q69" s="117"/>
      <c r="R69" s="117"/>
      <c r="S69" s="117"/>
      <c r="T69" s="117"/>
      <c r="U69" s="117"/>
      <c r="V69" s="117"/>
      <c r="W69" s="117"/>
      <c r="X69" s="117"/>
      <c r="Y69" s="117"/>
      <c r="Z69" s="117"/>
      <c r="AA69" s="117"/>
      <c r="AB69" s="122"/>
      <c r="AC69" s="117"/>
      <c r="AN69" s="117"/>
    </row>
    <row r="70" spans="1:40" ht="15" customHeight="1" x14ac:dyDescent="0.3">
      <c r="A70" s="87"/>
      <c r="B70" s="293" t="str">
        <f t="shared" si="4"/>
        <v/>
      </c>
      <c r="C70" s="96" t="s">
        <v>758</v>
      </c>
      <c r="D70" s="134"/>
      <c r="E70" s="228"/>
      <c r="F70" s="226"/>
      <c r="G70" s="94">
        <f>IF(OR(E70=$Q$131,E70=""),0,F70*G50)</f>
        <v>0</v>
      </c>
      <c r="I70" s="117"/>
      <c r="J70" s="117"/>
      <c r="K70" s="117"/>
      <c r="L70" s="117"/>
      <c r="M70" s="117"/>
      <c r="N70" s="117"/>
      <c r="O70" s="117"/>
      <c r="P70" s="117"/>
      <c r="Q70" s="117"/>
      <c r="R70" s="117"/>
      <c r="S70" s="117"/>
      <c r="T70" s="117"/>
      <c r="U70" s="117"/>
      <c r="V70" s="117"/>
      <c r="W70" s="117"/>
      <c r="X70" s="117"/>
      <c r="Y70" s="117"/>
      <c r="Z70" s="117"/>
      <c r="AA70" s="117"/>
      <c r="AB70" s="122"/>
      <c r="AC70" s="117"/>
      <c r="AN70" s="117"/>
    </row>
    <row r="71" spans="1:40" ht="15" customHeight="1" x14ac:dyDescent="0.3">
      <c r="A71" s="87"/>
      <c r="B71" s="293" t="str">
        <f t="shared" si="4"/>
        <v/>
      </c>
      <c r="C71" s="96" t="str">
        <f>B52</f>
        <v>Kitchen taps - pre-rinse nozzle</v>
      </c>
      <c r="D71" s="134"/>
      <c r="E71" s="224"/>
      <c r="F71" s="227"/>
      <c r="G71" s="94">
        <f>IF(OR(E71=$Q$131,E71=""),0,G52*F71)</f>
        <v>0</v>
      </c>
      <c r="I71" s="117"/>
      <c r="J71" s="117"/>
      <c r="K71" s="117"/>
      <c r="L71" s="117"/>
      <c r="M71" s="117"/>
      <c r="N71" s="117"/>
      <c r="O71" s="117"/>
      <c r="P71" s="117"/>
      <c r="Q71" s="117"/>
      <c r="R71" s="117"/>
      <c r="S71" s="117"/>
      <c r="T71" s="117"/>
      <c r="U71" s="117"/>
      <c r="V71" s="117"/>
      <c r="W71" s="117"/>
      <c r="X71" s="117"/>
      <c r="Y71" s="117"/>
      <c r="Z71" s="117"/>
      <c r="AA71" s="117"/>
      <c r="AB71" s="122"/>
      <c r="AC71" s="117"/>
      <c r="AN71" s="117"/>
    </row>
    <row r="72" spans="1:40" ht="15" customHeight="1" x14ac:dyDescent="0.3">
      <c r="A72" s="87"/>
      <c r="B72" s="293" t="str">
        <f t="shared" si="4"/>
        <v/>
      </c>
      <c r="C72" s="96" t="s">
        <v>759</v>
      </c>
      <c r="D72" s="134"/>
      <c r="E72" s="224"/>
      <c r="F72" s="227"/>
      <c r="G72" s="94">
        <f>IF(OR(E72=$Q$131,E72=""),0,F72*G53)</f>
        <v>0</v>
      </c>
      <c r="I72" s="117"/>
      <c r="J72" s="117"/>
      <c r="K72" s="117"/>
      <c r="L72" s="117"/>
      <c r="M72" s="117"/>
      <c r="N72" s="117"/>
      <c r="O72" s="117"/>
      <c r="P72" s="117"/>
      <c r="Q72" s="117"/>
      <c r="R72" s="117"/>
      <c r="S72" s="117"/>
      <c r="T72" s="117"/>
      <c r="U72" s="117"/>
      <c r="V72" s="117"/>
      <c r="W72" s="117"/>
      <c r="X72" s="117"/>
      <c r="Y72" s="117"/>
      <c r="Z72" s="117"/>
      <c r="AA72" s="117"/>
      <c r="AB72" s="122"/>
      <c r="AC72" s="117"/>
      <c r="AN72" s="117"/>
    </row>
    <row r="73" spans="1:40" ht="15" hidden="1" customHeight="1" x14ac:dyDescent="0.3">
      <c r="A73" s="87"/>
      <c r="B73" s="244" t="s">
        <v>736</v>
      </c>
      <c r="C73" s="236" t="s">
        <v>760</v>
      </c>
      <c r="D73" s="237"/>
      <c r="E73" s="241"/>
      <c r="F73" s="242"/>
      <c r="G73" s="238" t="e">
        <f>IF(OR(E73=Q131,E73="",E45="N/A",E46="N/A"),0,(SUM(G45:G46)*F73))</f>
        <v>#N/A</v>
      </c>
      <c r="H73" s="419" t="s">
        <v>736</v>
      </c>
      <c r="I73" s="253"/>
      <c r="J73" s="117"/>
      <c r="K73" s="117"/>
      <c r="L73" s="117"/>
      <c r="M73" s="117"/>
      <c r="N73" s="117"/>
      <c r="O73" s="117"/>
      <c r="P73" s="117"/>
      <c r="Q73" s="117"/>
      <c r="R73" s="117"/>
      <c r="S73" s="117"/>
      <c r="T73" s="117"/>
      <c r="U73" s="117"/>
      <c r="V73" s="117"/>
      <c r="W73" s="117"/>
      <c r="X73" s="117"/>
      <c r="Y73" s="117"/>
      <c r="Z73" s="117"/>
      <c r="AA73" s="117"/>
      <c r="AB73" s="122"/>
      <c r="AC73" s="117"/>
      <c r="AN73" s="117"/>
    </row>
    <row r="74" spans="1:40" ht="15" hidden="1" customHeight="1" x14ac:dyDescent="0.3">
      <c r="A74" s="87"/>
      <c r="B74" s="244" t="s">
        <v>736</v>
      </c>
      <c r="C74" s="239" t="str">
        <f>B55</f>
        <v>Washing machine</v>
      </c>
      <c r="D74" s="240"/>
      <c r="E74" s="217"/>
      <c r="F74" s="243"/>
      <c r="G74" s="94">
        <f>IF(OR(E74=Q132,E74=""),0,F74*G55)</f>
        <v>0</v>
      </c>
      <c r="H74" s="419" t="s">
        <v>736</v>
      </c>
      <c r="I74" s="253"/>
      <c r="J74" s="117"/>
      <c r="K74" s="117"/>
      <c r="L74" s="117"/>
      <c r="M74" s="117"/>
      <c r="N74" s="117"/>
      <c r="O74" s="117"/>
      <c r="P74" s="117"/>
      <c r="Q74" s="117"/>
      <c r="R74" s="117"/>
      <c r="S74" s="117"/>
      <c r="T74" s="117"/>
      <c r="U74" s="117"/>
      <c r="V74" s="117"/>
      <c r="W74" s="117"/>
      <c r="X74" s="117"/>
      <c r="Y74" s="117"/>
      <c r="Z74" s="117"/>
      <c r="AA74" s="117"/>
      <c r="AB74" s="122"/>
      <c r="AC74" s="117"/>
      <c r="AN74" s="117"/>
    </row>
    <row r="75" spans="1:40" ht="25" customHeight="1" x14ac:dyDescent="0.3">
      <c r="A75" s="87"/>
      <c r="B75" s="87"/>
      <c r="C75" s="444" t="s">
        <v>761</v>
      </c>
      <c r="D75" s="444" t="s">
        <v>762</v>
      </c>
      <c r="E75" s="444" t="s">
        <v>763</v>
      </c>
      <c r="F75" s="444" t="s">
        <v>764</v>
      </c>
      <c r="G75" s="444" t="s">
        <v>757</v>
      </c>
      <c r="H75" s="560" t="str">
        <f>IF(G64=Q130,N148,"")</f>
        <v/>
      </c>
      <c r="I75" s="544"/>
      <c r="J75" s="544"/>
      <c r="K75" s="544"/>
      <c r="L75" s="544"/>
      <c r="M75" s="544"/>
      <c r="N75" s="117"/>
      <c r="O75" s="117"/>
      <c r="P75" s="117"/>
      <c r="Q75" s="117"/>
      <c r="R75" s="117"/>
      <c r="S75" s="117"/>
      <c r="T75" s="117"/>
      <c r="U75" s="117"/>
      <c r="V75" s="117"/>
      <c r="W75" s="117"/>
      <c r="X75" s="117"/>
      <c r="Y75" s="117"/>
      <c r="Z75" s="117"/>
      <c r="AA75" s="117"/>
      <c r="AB75" s="133"/>
      <c r="AC75" s="117"/>
      <c r="AN75" s="117"/>
    </row>
    <row r="76" spans="1:40" ht="15" customHeight="1" x14ac:dyDescent="0.3">
      <c r="A76" s="87"/>
      <c r="B76" s="87"/>
      <c r="C76" s="103" t="s">
        <v>765</v>
      </c>
      <c r="D76" s="218"/>
      <c r="E76" s="218"/>
      <c r="F76" s="94" t="str">
        <f>IF(D76="","",D76/E76)</f>
        <v/>
      </c>
      <c r="G76" s="94">
        <f>IF(D76="",0,F76/$O$137)</f>
        <v>0</v>
      </c>
      <c r="H76" s="560"/>
      <c r="I76" s="544"/>
      <c r="J76" s="544"/>
      <c r="K76" s="544"/>
      <c r="L76" s="544"/>
      <c r="M76" s="544"/>
      <c r="N76" s="117"/>
      <c r="O76" s="117"/>
      <c r="P76" s="117"/>
      <c r="Q76" s="117"/>
      <c r="R76" s="117"/>
      <c r="S76" s="117"/>
      <c r="T76" s="117"/>
      <c r="U76" s="117"/>
      <c r="V76" s="117"/>
      <c r="W76" s="117"/>
      <c r="X76" s="117"/>
      <c r="Y76" s="117"/>
      <c r="Z76" s="117"/>
      <c r="AA76" s="117"/>
      <c r="AB76" s="122"/>
      <c r="AC76" s="117"/>
      <c r="AN76" s="117"/>
    </row>
    <row r="77" spans="1:40" ht="15" customHeight="1" x14ac:dyDescent="0.3">
      <c r="A77" s="87"/>
      <c r="B77" s="87"/>
      <c r="C77" s="87"/>
      <c r="D77" s="87"/>
      <c r="E77" s="87"/>
      <c r="F77" s="87"/>
      <c r="G77" s="87"/>
      <c r="I77" s="117"/>
      <c r="J77" s="117"/>
      <c r="K77" s="117"/>
      <c r="L77" s="117"/>
      <c r="M77" s="117"/>
      <c r="N77" s="117"/>
      <c r="O77" s="117"/>
      <c r="P77" s="117"/>
      <c r="Q77" s="117"/>
      <c r="R77" s="117"/>
      <c r="S77" s="117"/>
      <c r="T77" s="117"/>
      <c r="U77" s="117"/>
      <c r="V77" s="117"/>
      <c r="W77" s="117"/>
      <c r="X77" s="117"/>
      <c r="Y77" s="117"/>
      <c r="Z77" s="117"/>
      <c r="AA77" s="117"/>
      <c r="AB77" s="122"/>
      <c r="AC77" s="117"/>
      <c r="AN77" s="117"/>
    </row>
    <row r="78" spans="1:40" ht="25" customHeight="1" x14ac:dyDescent="0.3">
      <c r="A78" s="87"/>
      <c r="B78" s="87"/>
      <c r="C78" s="87"/>
      <c r="D78" s="87"/>
      <c r="E78" s="87"/>
      <c r="F78" s="87"/>
      <c r="G78" s="444" t="s">
        <v>766</v>
      </c>
      <c r="I78" s="117"/>
      <c r="J78" s="117"/>
      <c r="K78" s="117"/>
      <c r="L78" s="117"/>
      <c r="M78" s="117"/>
      <c r="N78" s="117"/>
      <c r="O78" s="117"/>
      <c r="P78" s="117"/>
      <c r="Q78" s="117"/>
      <c r="R78" s="117"/>
      <c r="S78" s="117"/>
      <c r="T78" s="117"/>
      <c r="U78" s="117"/>
      <c r="V78" s="117"/>
      <c r="W78" s="117"/>
      <c r="X78" s="117"/>
      <c r="Y78" s="117"/>
      <c r="Z78" s="117"/>
      <c r="AA78" s="117"/>
      <c r="AB78" s="122"/>
      <c r="AC78" s="117"/>
      <c r="AN78" s="117"/>
    </row>
    <row r="79" spans="1:40" ht="15" customHeight="1" x14ac:dyDescent="0.3">
      <c r="A79" s="87"/>
      <c r="B79" s="87"/>
      <c r="C79" s="87"/>
      <c r="D79" s="87"/>
      <c r="E79" s="87"/>
      <c r="F79" s="113" t="s">
        <v>748</v>
      </c>
      <c r="G79" s="94" t="str">
        <f>IF(Ind_act=Q129,Q137,IF(OR(G64=Q132,G64=Q131),0,SUM(G67:G74)+G76))</f>
        <v>Requires building information</v>
      </c>
      <c r="I79" s="117"/>
      <c r="J79" s="117"/>
      <c r="K79" s="117"/>
      <c r="L79" s="117"/>
      <c r="M79" s="117"/>
      <c r="N79" s="117"/>
      <c r="O79" s="117"/>
      <c r="P79" s="117"/>
      <c r="Q79" s="117"/>
      <c r="R79" s="117"/>
      <c r="S79" s="117"/>
      <c r="T79" s="117"/>
      <c r="U79" s="117"/>
      <c r="V79" s="117"/>
      <c r="W79" s="117"/>
      <c r="X79" s="117"/>
      <c r="Y79" s="117"/>
      <c r="Z79" s="117"/>
      <c r="AA79" s="117"/>
      <c r="AC79" s="117"/>
      <c r="AN79" s="117"/>
    </row>
    <row r="80" spans="1:40" ht="25" customHeight="1" x14ac:dyDescent="0.3">
      <c r="A80" s="87"/>
      <c r="B80" s="87"/>
      <c r="C80" s="87"/>
      <c r="D80" s="87"/>
      <c r="E80" s="87"/>
      <c r="F80" s="87"/>
      <c r="G80" s="88"/>
      <c r="I80" s="117"/>
      <c r="J80" s="117"/>
      <c r="K80" s="117"/>
      <c r="L80" s="117"/>
      <c r="M80" s="117"/>
      <c r="N80" s="117"/>
      <c r="O80" s="117"/>
      <c r="P80" s="117"/>
      <c r="Q80" s="117"/>
      <c r="R80" s="117"/>
      <c r="S80" s="117"/>
      <c r="T80" s="117"/>
      <c r="U80" s="117"/>
      <c r="V80" s="117"/>
      <c r="W80" s="117"/>
      <c r="X80" s="117"/>
      <c r="Y80" s="117"/>
      <c r="Z80" s="117"/>
      <c r="AA80" s="117"/>
      <c r="AC80" s="117"/>
      <c r="AN80" s="117"/>
    </row>
    <row r="81" spans="1:40" ht="32.15" customHeight="1" x14ac:dyDescent="0.3">
      <c r="A81" s="87"/>
      <c r="B81" s="422" t="s">
        <v>767</v>
      </c>
      <c r="C81" s="422"/>
      <c r="D81" s="422"/>
      <c r="E81" s="422"/>
      <c r="F81" s="422"/>
      <c r="G81" s="422"/>
      <c r="I81" s="117"/>
      <c r="J81" s="117"/>
      <c r="K81" s="117"/>
      <c r="L81" s="117"/>
      <c r="M81" s="117"/>
      <c r="N81" s="117"/>
      <c r="O81" s="117"/>
      <c r="P81" s="117"/>
      <c r="Q81" s="117"/>
      <c r="R81" s="117"/>
      <c r="S81" s="117"/>
      <c r="T81" s="117"/>
      <c r="U81" s="117"/>
      <c r="V81" s="117"/>
      <c r="W81" s="117"/>
      <c r="X81" s="117"/>
      <c r="Y81" s="117"/>
      <c r="Z81" s="117"/>
      <c r="AA81" s="117"/>
      <c r="AC81" s="117"/>
      <c r="AN81" s="117"/>
    </row>
    <row r="82" spans="1:40" ht="25" customHeight="1" x14ac:dyDescent="0.3">
      <c r="A82" s="87"/>
      <c r="B82" s="109"/>
      <c r="C82" s="109"/>
      <c r="D82" s="87"/>
      <c r="E82" s="87"/>
      <c r="F82" s="87"/>
      <c r="G82" s="88"/>
      <c r="I82" s="117"/>
      <c r="J82" s="117"/>
      <c r="K82" s="117"/>
      <c r="L82" s="117"/>
      <c r="M82" s="117"/>
      <c r="N82" s="117"/>
      <c r="O82" s="117"/>
      <c r="P82" s="117"/>
      <c r="Q82" s="117"/>
      <c r="R82" s="117"/>
      <c r="S82" s="117"/>
      <c r="T82" s="117"/>
      <c r="U82" s="117"/>
      <c r="V82" s="117"/>
      <c r="W82" s="117"/>
      <c r="X82" s="117"/>
      <c r="Y82" s="117"/>
      <c r="Z82" s="117"/>
      <c r="AA82" s="117"/>
      <c r="AC82" s="117"/>
      <c r="AN82" s="117"/>
    </row>
    <row r="83" spans="1:40" ht="15" customHeight="1" x14ac:dyDescent="0.3">
      <c r="A83" s="293" t="str">
        <f>IF(G83=$Q$129,"&gt;","")</f>
        <v>&gt;</v>
      </c>
      <c r="B83" s="89"/>
      <c r="C83" s="105"/>
      <c r="D83" s="106"/>
      <c r="E83" s="106"/>
      <c r="F83" s="107" t="s">
        <v>844</v>
      </c>
      <c r="G83" s="229" t="s">
        <v>699</v>
      </c>
      <c r="I83" s="117"/>
      <c r="J83" s="117"/>
      <c r="K83" s="117"/>
      <c r="L83" s="117"/>
      <c r="M83" s="117"/>
      <c r="N83" s="117"/>
      <c r="O83" s="117"/>
      <c r="P83" s="117"/>
      <c r="Q83" s="117"/>
      <c r="R83" s="117"/>
      <c r="S83" s="117"/>
      <c r="T83" s="117"/>
      <c r="U83" s="117"/>
      <c r="V83" s="117"/>
      <c r="W83" s="117"/>
      <c r="X83" s="117"/>
      <c r="Y83" s="117"/>
      <c r="Z83" s="117"/>
      <c r="AA83" s="117"/>
      <c r="AC83" s="117"/>
      <c r="AN83" s="117"/>
    </row>
    <row r="84" spans="1:40" x14ac:dyDescent="0.3">
      <c r="A84" s="87"/>
      <c r="B84" s="87"/>
      <c r="C84" s="87"/>
      <c r="D84" s="87"/>
      <c r="E84" s="87"/>
      <c r="F84" s="136"/>
      <c r="G84" s="88"/>
      <c r="I84" s="117"/>
      <c r="J84" s="117"/>
      <c r="K84" s="117"/>
      <c r="L84" s="117"/>
      <c r="M84" s="117"/>
      <c r="N84" s="117"/>
      <c r="O84" s="117"/>
      <c r="P84" s="117"/>
      <c r="Q84" s="117"/>
      <c r="R84" s="117"/>
      <c r="S84" s="117"/>
      <c r="T84" s="117"/>
      <c r="U84" s="117"/>
      <c r="V84" s="117"/>
      <c r="W84" s="117"/>
      <c r="X84" s="117"/>
      <c r="Y84" s="117"/>
      <c r="Z84" s="117"/>
      <c r="AA84" s="117"/>
      <c r="AC84" s="117"/>
      <c r="AN84" s="117"/>
    </row>
    <row r="85" spans="1:40" ht="15" customHeight="1" x14ac:dyDescent="0.3">
      <c r="A85" s="293" t="str">
        <f>IF(AND($G$83=$Q$130,G85=$Q$129),"&gt;","")</f>
        <v/>
      </c>
      <c r="B85" s="89"/>
      <c r="C85" s="105"/>
      <c r="D85" s="106"/>
      <c r="E85" s="106"/>
      <c r="F85" s="107" t="s">
        <v>769</v>
      </c>
      <c r="G85" s="229"/>
      <c r="I85" s="117"/>
      <c r="J85" s="117"/>
      <c r="K85" s="117"/>
      <c r="L85" s="117"/>
      <c r="M85" s="117"/>
      <c r="N85" s="117"/>
      <c r="O85" s="117"/>
      <c r="P85" s="117"/>
      <c r="Q85" s="117"/>
      <c r="R85" s="117"/>
      <c r="S85" s="117"/>
      <c r="T85" s="117"/>
      <c r="U85" s="117"/>
      <c r="V85" s="117"/>
      <c r="W85" s="117"/>
      <c r="X85" s="117"/>
      <c r="Y85" s="117"/>
      <c r="Z85" s="117"/>
      <c r="AA85" s="117"/>
      <c r="AC85" s="117"/>
      <c r="AN85" s="117"/>
    </row>
    <row r="86" spans="1:40" ht="25" customHeight="1" x14ac:dyDescent="0.3">
      <c r="A86" s="87"/>
      <c r="B86" s="115" t="s">
        <v>770</v>
      </c>
      <c r="C86" s="87"/>
      <c r="D86" s="87"/>
      <c r="E86" s="87"/>
      <c r="F86" s="87"/>
      <c r="G86" s="137"/>
      <c r="I86" s="117"/>
      <c r="J86" s="117"/>
      <c r="K86" s="117"/>
      <c r="L86" s="117"/>
      <c r="M86" s="117"/>
      <c r="N86" s="117"/>
      <c r="O86" s="117"/>
      <c r="P86" s="117"/>
      <c r="Q86" s="117"/>
      <c r="R86" s="117"/>
      <c r="S86" s="117"/>
      <c r="T86" s="117"/>
      <c r="U86" s="117"/>
      <c r="V86" s="117"/>
      <c r="W86" s="117"/>
      <c r="X86" s="117"/>
      <c r="Y86" s="117"/>
      <c r="Z86" s="117"/>
      <c r="AA86" s="117"/>
      <c r="AC86" s="117"/>
      <c r="AN86" s="117"/>
    </row>
    <row r="87" spans="1:40" ht="26" x14ac:dyDescent="0.3">
      <c r="A87" s="87"/>
      <c r="B87" s="444" t="s">
        <v>771</v>
      </c>
      <c r="C87" s="444" t="s">
        <v>772</v>
      </c>
      <c r="D87" s="444" t="s">
        <v>773</v>
      </c>
      <c r="E87" s="444" t="s">
        <v>774</v>
      </c>
      <c r="F87" s="444" t="s">
        <v>775</v>
      </c>
      <c r="G87" s="444" t="s">
        <v>776</v>
      </c>
      <c r="I87" s="133"/>
      <c r="J87" s="133"/>
      <c r="K87" s="133"/>
      <c r="L87" s="133"/>
      <c r="M87" s="133"/>
      <c r="N87" s="133"/>
      <c r="O87" s="133"/>
      <c r="P87" s="133"/>
      <c r="Q87" s="133"/>
      <c r="R87" s="133"/>
      <c r="S87" s="133"/>
      <c r="T87" s="133"/>
      <c r="U87" s="133"/>
      <c r="V87" s="133"/>
      <c r="W87" s="133"/>
      <c r="X87" s="133"/>
      <c r="Y87" s="133"/>
      <c r="Z87" s="133"/>
      <c r="AA87" s="133"/>
      <c r="AB87" s="133"/>
      <c r="AC87" s="117"/>
      <c r="AN87" s="117"/>
    </row>
    <row r="88" spans="1:40" ht="15" customHeight="1" x14ac:dyDescent="0.3">
      <c r="A88" s="293" t="str">
        <f>IF(AND($G$83=$Q$130,$G$85=$S$130,OR(B88="",C88="",D88="",E88="")),"&gt;","")</f>
        <v/>
      </c>
      <c r="B88" s="218"/>
      <c r="C88" s="218"/>
      <c r="D88" s="234"/>
      <c r="E88" s="234"/>
      <c r="F88" s="108">
        <f>B88*E88*D88*C88</f>
        <v>0</v>
      </c>
      <c r="G88" s="92" t="str">
        <f>IF(ISERROR(IF(OR(G83=Q132,G83=Q131,G85=S131),0,(F88/365)/O137)),Q137,IF(OR(G83=Q132,G83=Q131,G85=S131),0,(F88/365)/O137))</f>
        <v>Requires building information</v>
      </c>
      <c r="I88" s="122"/>
      <c r="J88" s="122"/>
      <c r="K88" s="122"/>
      <c r="L88" s="122"/>
      <c r="M88" s="122"/>
      <c r="N88" s="122"/>
      <c r="O88" s="122"/>
      <c r="P88" s="122"/>
      <c r="Q88" s="122"/>
      <c r="R88" s="122"/>
      <c r="S88" s="122"/>
      <c r="T88" s="122"/>
      <c r="U88" s="122"/>
      <c r="V88" s="122"/>
      <c r="W88" s="122"/>
      <c r="X88" s="122"/>
      <c r="Y88" s="122"/>
      <c r="Z88" s="122"/>
      <c r="AA88" s="122"/>
      <c r="AB88" s="122"/>
      <c r="AC88" s="117"/>
      <c r="AN88" s="117"/>
    </row>
    <row r="89" spans="1:40" ht="25" customHeight="1" x14ac:dyDescent="0.3">
      <c r="A89" s="87"/>
      <c r="B89" s="87"/>
      <c r="C89" s="87"/>
      <c r="D89" s="87"/>
      <c r="E89" s="87"/>
      <c r="F89" s="115" t="s">
        <v>777</v>
      </c>
      <c r="G89" s="88"/>
      <c r="I89" s="133"/>
      <c r="J89" s="133"/>
      <c r="K89" s="133"/>
      <c r="L89" s="133"/>
      <c r="M89" s="133"/>
      <c r="N89" s="133"/>
      <c r="O89" s="133"/>
      <c r="P89" s="133"/>
      <c r="Q89" s="133"/>
      <c r="R89" s="133"/>
      <c r="S89" s="133"/>
      <c r="T89" s="133"/>
      <c r="U89" s="133"/>
      <c r="V89" s="133"/>
      <c r="W89" s="133"/>
      <c r="X89" s="133"/>
      <c r="Y89" s="133"/>
      <c r="Z89" s="133"/>
      <c r="AA89" s="133"/>
      <c r="AB89" s="133"/>
      <c r="AC89" s="117"/>
      <c r="AN89" s="117"/>
    </row>
    <row r="90" spans="1:40" ht="26" x14ac:dyDescent="0.3">
      <c r="A90" s="87"/>
      <c r="B90" s="87"/>
      <c r="C90" s="87"/>
      <c r="D90" s="87"/>
      <c r="E90" s="87"/>
      <c r="F90" s="444" t="s">
        <v>778</v>
      </c>
      <c r="G90" s="444" t="s">
        <v>779</v>
      </c>
      <c r="I90" s="122"/>
      <c r="J90" s="122"/>
      <c r="K90" s="122"/>
      <c r="L90" s="122"/>
      <c r="M90" s="122"/>
      <c r="N90" s="122"/>
      <c r="O90" s="122"/>
      <c r="P90" s="122"/>
      <c r="Q90" s="122"/>
      <c r="R90" s="122"/>
      <c r="S90" s="122"/>
      <c r="T90" s="122"/>
      <c r="U90" s="122"/>
      <c r="V90" s="122"/>
      <c r="W90" s="122"/>
      <c r="X90" s="122"/>
      <c r="Y90" s="122"/>
      <c r="Z90" s="122"/>
      <c r="AA90" s="122"/>
      <c r="AB90" s="122"/>
      <c r="AC90" s="117"/>
      <c r="AN90" s="117"/>
    </row>
    <row r="91" spans="1:40" ht="15" customHeight="1" x14ac:dyDescent="0.3">
      <c r="A91" s="87"/>
      <c r="B91" s="87"/>
      <c r="C91" s="87"/>
      <c r="D91" s="87"/>
      <c r="E91" s="293" t="str">
        <f>IF(AND($G$83=$Q$130,$G$85=$S$131,F91=""),"&gt;","")</f>
        <v/>
      </c>
      <c r="F91" s="218"/>
      <c r="G91" s="92" t="str">
        <f>IF(ISERROR(IF(OR(G85=S130,G83=Q132,G83=Q131),0,(F91/O137))),Q137,IF(OR(G85=S130,G83=Q132,G83=Q131),0,(F91/O137)))</f>
        <v>Requires building information</v>
      </c>
      <c r="H91" s="122"/>
      <c r="I91" s="122"/>
      <c r="J91" s="122"/>
      <c r="K91" s="122"/>
      <c r="L91" s="122"/>
      <c r="M91" s="122"/>
      <c r="N91" s="122"/>
      <c r="O91" s="122"/>
      <c r="P91" s="122"/>
      <c r="Q91" s="122"/>
      <c r="R91" s="122"/>
      <c r="S91" s="122"/>
      <c r="T91" s="122"/>
      <c r="U91" s="122"/>
      <c r="V91" s="122"/>
      <c r="W91" s="122"/>
      <c r="X91" s="122"/>
      <c r="Y91" s="122"/>
      <c r="Z91" s="122"/>
      <c r="AA91" s="122"/>
      <c r="AB91" s="122"/>
      <c r="AC91" s="117"/>
      <c r="AN91" s="117"/>
    </row>
    <row r="92" spans="1:40" ht="25" customHeight="1" x14ac:dyDescent="0.3">
      <c r="A92" s="87"/>
      <c r="B92" s="87"/>
      <c r="C92" s="87"/>
      <c r="D92" s="87"/>
      <c r="E92" s="87"/>
      <c r="F92" s="87"/>
      <c r="G92" s="88"/>
      <c r="I92" s="117"/>
      <c r="J92" s="117"/>
      <c r="K92" s="117"/>
      <c r="L92" s="117"/>
      <c r="M92" s="117"/>
      <c r="N92" s="117"/>
      <c r="O92" s="117"/>
      <c r="P92" s="117"/>
      <c r="Q92" s="117"/>
      <c r="R92" s="117"/>
      <c r="S92" s="117"/>
      <c r="T92" s="117"/>
      <c r="U92" s="117"/>
      <c r="V92" s="117"/>
      <c r="W92" s="117"/>
      <c r="X92" s="117"/>
      <c r="Y92" s="117"/>
      <c r="Z92" s="117"/>
      <c r="AA92" s="117"/>
      <c r="AC92" s="117"/>
      <c r="AN92" s="117"/>
    </row>
    <row r="93" spans="1:40" ht="32.15" customHeight="1" x14ac:dyDescent="0.3">
      <c r="A93" s="87"/>
      <c r="B93" s="422" t="s">
        <v>780</v>
      </c>
      <c r="C93" s="422"/>
      <c r="D93" s="422"/>
      <c r="E93" s="422"/>
      <c r="F93" s="422"/>
      <c r="G93" s="422"/>
      <c r="I93" s="117"/>
      <c r="J93" s="117"/>
      <c r="K93" s="117"/>
      <c r="L93" s="117"/>
      <c r="M93" s="117"/>
      <c r="N93" s="117"/>
      <c r="O93" s="117"/>
      <c r="P93" s="117"/>
      <c r="Q93" s="117"/>
      <c r="R93" s="117"/>
      <c r="S93" s="117"/>
      <c r="T93" s="117"/>
      <c r="U93" s="117"/>
      <c r="V93" s="117"/>
      <c r="W93" s="117"/>
      <c r="X93" s="117"/>
      <c r="Y93" s="117"/>
      <c r="Z93" s="117"/>
      <c r="AA93" s="117"/>
      <c r="AC93" s="117"/>
      <c r="AN93" s="117"/>
    </row>
    <row r="94" spans="1:40" ht="25" customHeight="1" x14ac:dyDescent="0.3">
      <c r="A94" s="87"/>
      <c r="B94" s="87"/>
      <c r="C94" s="87"/>
      <c r="D94" s="87"/>
      <c r="E94" s="87"/>
      <c r="F94" s="87"/>
      <c r="G94" s="88"/>
      <c r="I94" s="117"/>
      <c r="J94" s="117"/>
      <c r="K94" s="117"/>
      <c r="L94" s="117"/>
      <c r="M94" s="117"/>
      <c r="N94" s="117"/>
      <c r="O94" s="117"/>
      <c r="P94" s="117"/>
      <c r="Q94" s="117"/>
      <c r="R94" s="117"/>
      <c r="S94" s="117"/>
      <c r="T94" s="117"/>
      <c r="U94" s="117"/>
      <c r="V94" s="117"/>
      <c r="W94" s="117"/>
      <c r="X94" s="117"/>
      <c r="Y94" s="117"/>
      <c r="Z94" s="117"/>
      <c r="AA94" s="117"/>
      <c r="AC94" s="117"/>
      <c r="AN94" s="117"/>
    </row>
    <row r="95" spans="1:40" ht="25" customHeight="1" x14ac:dyDescent="0.3">
      <c r="A95" s="87"/>
      <c r="B95" s="87"/>
      <c r="C95" s="87"/>
      <c r="D95" s="87"/>
      <c r="E95" s="87"/>
      <c r="F95" s="87"/>
      <c r="G95" s="444" t="s">
        <v>781</v>
      </c>
      <c r="I95" s="117"/>
      <c r="J95" s="117"/>
      <c r="K95" s="117"/>
      <c r="L95" s="117"/>
      <c r="M95" s="117"/>
      <c r="N95" s="117"/>
      <c r="O95" s="117"/>
      <c r="P95" s="117"/>
      <c r="Q95" s="117"/>
      <c r="R95" s="117"/>
      <c r="S95" s="117"/>
      <c r="T95" s="117"/>
      <c r="U95" s="117"/>
      <c r="V95" s="117"/>
      <c r="W95" s="117"/>
      <c r="X95" s="117"/>
      <c r="Y95" s="117"/>
      <c r="Z95" s="117"/>
      <c r="AA95" s="117"/>
      <c r="AC95" s="117"/>
      <c r="AN95" s="117"/>
    </row>
    <row r="96" spans="1:40" ht="15" customHeight="1" x14ac:dyDescent="0.3">
      <c r="A96" s="87"/>
      <c r="B96" s="87"/>
      <c r="C96" s="87"/>
      <c r="D96" s="87"/>
      <c r="E96" s="87"/>
      <c r="F96" s="113" t="s">
        <v>748</v>
      </c>
      <c r="G96" s="92" t="str">
        <f>IF(ISERROR(G91+G88+G79),Q137,G91+G88+G79)</f>
        <v>Requires building information</v>
      </c>
      <c r="I96" s="117"/>
      <c r="J96" s="117"/>
      <c r="K96" s="117"/>
      <c r="L96" s="117"/>
      <c r="M96" s="117"/>
      <c r="N96" s="117"/>
      <c r="O96" s="117"/>
      <c r="P96" s="117"/>
      <c r="Q96" s="117"/>
      <c r="R96" s="117"/>
      <c r="S96" s="117"/>
      <c r="T96" s="117"/>
      <c r="U96" s="117"/>
      <c r="V96" s="117"/>
      <c r="W96" s="117"/>
      <c r="X96" s="117"/>
      <c r="Y96" s="117"/>
      <c r="Z96" s="117"/>
      <c r="AA96" s="117"/>
      <c r="AC96" s="117"/>
      <c r="AN96" s="117"/>
    </row>
    <row r="97" spans="1:40" x14ac:dyDescent="0.3">
      <c r="A97" s="87"/>
      <c r="B97" s="87"/>
      <c r="C97" s="87"/>
      <c r="D97" s="87"/>
      <c r="E97" s="87"/>
      <c r="F97" s="87"/>
      <c r="G97" s="88"/>
      <c r="I97" s="117"/>
      <c r="J97" s="117"/>
      <c r="K97" s="117"/>
      <c r="L97" s="117"/>
      <c r="M97" s="117"/>
      <c r="N97" s="117"/>
      <c r="O97" s="117"/>
      <c r="P97" s="117"/>
      <c r="Q97" s="117"/>
      <c r="R97" s="117"/>
      <c r="S97" s="117"/>
      <c r="T97" s="117"/>
      <c r="U97" s="117"/>
      <c r="V97" s="117"/>
      <c r="W97" s="117"/>
      <c r="X97" s="117"/>
      <c r="Y97" s="117"/>
      <c r="Z97" s="117"/>
      <c r="AA97" s="117"/>
      <c r="AC97" s="117"/>
      <c r="AN97" s="117"/>
    </row>
    <row r="98" spans="1:40" ht="39" customHeight="1" x14ac:dyDescent="0.3">
      <c r="A98" s="87"/>
      <c r="B98" s="87"/>
      <c r="C98" s="87"/>
      <c r="D98" s="444" t="s">
        <v>499</v>
      </c>
      <c r="E98" s="444" t="s">
        <v>782</v>
      </c>
      <c r="F98" s="444" t="s">
        <v>783</v>
      </c>
      <c r="G98" s="444" t="s">
        <v>784</v>
      </c>
      <c r="I98" s="117"/>
      <c r="J98" s="117"/>
      <c r="K98" s="117"/>
      <c r="L98" s="117"/>
      <c r="M98" s="117"/>
      <c r="N98" s="117"/>
      <c r="O98" s="117"/>
      <c r="P98" s="117"/>
      <c r="Q98" s="117"/>
      <c r="R98" s="117"/>
      <c r="S98" s="117"/>
      <c r="T98" s="117"/>
      <c r="U98" s="117"/>
      <c r="V98" s="117"/>
      <c r="W98" s="117"/>
      <c r="X98" s="117"/>
      <c r="Y98" s="117"/>
      <c r="Z98" s="117"/>
      <c r="AA98" s="117"/>
      <c r="AC98" s="117"/>
      <c r="AN98" s="117"/>
    </row>
    <row r="99" spans="1:40" ht="15" customHeight="1" x14ac:dyDescent="0.3">
      <c r="A99" s="87"/>
      <c r="B99" s="87"/>
      <c r="C99" s="293" t="str">
        <f>IF(AND(OR($G$64=$Q$129,$G$64=$Q$131,$G$64=$Q$132),OR($G$83=$Q$129,$G$83=$Q$131,$G$83=$Q$132)),"",IF(E99=$Q$131,"",IF(OR(E99="",F99=""),"&gt;","")))</f>
        <v/>
      </c>
      <c r="D99" s="169" t="s">
        <v>785</v>
      </c>
      <c r="E99" s="230"/>
      <c r="F99" s="231"/>
      <c r="G99" s="170">
        <f>IF(E99="no",0,F99*SUM(G27:G28))</f>
        <v>0</v>
      </c>
      <c r="I99" s="117"/>
      <c r="J99" s="117"/>
      <c r="K99" s="117"/>
      <c r="L99" s="117"/>
      <c r="M99" s="117"/>
      <c r="N99" s="117"/>
      <c r="O99" s="117"/>
      <c r="P99" s="117"/>
      <c r="Q99" s="117"/>
      <c r="R99" s="117"/>
      <c r="S99" s="117"/>
      <c r="T99" s="117"/>
      <c r="U99" s="117"/>
      <c r="V99" s="117"/>
      <c r="W99" s="117"/>
      <c r="X99" s="117"/>
      <c r="Y99" s="117"/>
      <c r="Z99" s="117"/>
      <c r="AA99" s="117"/>
      <c r="AC99" s="117"/>
      <c r="AN99" s="117"/>
    </row>
    <row r="100" spans="1:40" ht="15" customHeight="1" x14ac:dyDescent="0.3">
      <c r="A100" s="87"/>
      <c r="B100" s="87"/>
      <c r="C100" s="293" t="str">
        <f>IF(B27=R131,"",IF(AND(OR($G$64=$Q$129,$G$64=$Q$131,$G$64=$Q$132),OR($G$83=$Q$129,$G$83=$Q$131,$G$83=$Q$132)),"",IF(E100=$Q$131,"",IF(OR(E100="",F100=""),"&gt;",""))))</f>
        <v/>
      </c>
      <c r="D100" s="169" t="s">
        <v>786</v>
      </c>
      <c r="E100" s="230"/>
      <c r="F100" s="231"/>
      <c r="G100" s="170">
        <f>IF(OR(E100="no",B27=R131),0,F100*SUM(G31:G37))</f>
        <v>0</v>
      </c>
      <c r="I100" s="117"/>
      <c r="J100" s="117"/>
      <c r="K100" s="117"/>
      <c r="L100" s="117"/>
      <c r="M100" s="117"/>
      <c r="N100" s="117"/>
      <c r="O100" s="117"/>
      <c r="P100" s="117"/>
      <c r="Q100" s="117"/>
      <c r="R100" s="117"/>
      <c r="S100" s="117"/>
      <c r="T100" s="117"/>
      <c r="U100" s="117"/>
      <c r="V100" s="117"/>
      <c r="W100" s="117"/>
      <c r="X100" s="117"/>
      <c r="Y100" s="117"/>
      <c r="Z100" s="117"/>
      <c r="AA100" s="117"/>
      <c r="AC100" s="117"/>
      <c r="AN100" s="117"/>
    </row>
    <row r="101" spans="1:40" ht="25" customHeight="1" x14ac:dyDescent="0.3">
      <c r="A101" s="87"/>
      <c r="B101" s="87"/>
      <c r="C101" s="87"/>
      <c r="D101" s="87"/>
      <c r="E101" s="87"/>
      <c r="F101" s="87"/>
      <c r="G101" s="444" t="s">
        <v>787</v>
      </c>
      <c r="I101" s="117"/>
      <c r="J101" s="117"/>
      <c r="K101" s="117"/>
      <c r="L101" s="117"/>
      <c r="M101" s="117"/>
      <c r="N101" s="117"/>
      <c r="O101" s="117"/>
      <c r="P101" s="117"/>
      <c r="Q101" s="117"/>
      <c r="R101" s="117"/>
      <c r="S101" s="117"/>
      <c r="T101" s="117"/>
      <c r="U101" s="117"/>
      <c r="V101" s="117"/>
      <c r="W101" s="117"/>
      <c r="X101" s="117"/>
      <c r="Y101" s="117"/>
      <c r="Z101" s="117"/>
      <c r="AA101" s="117"/>
      <c r="AC101" s="117"/>
      <c r="AN101" s="117"/>
    </row>
    <row r="102" spans="1:40" ht="15" customHeight="1" x14ac:dyDescent="0.3">
      <c r="A102" s="87"/>
      <c r="B102" s="87"/>
      <c r="C102" s="87"/>
      <c r="D102" s="87"/>
      <c r="E102" s="87"/>
      <c r="F102" s="171" t="s">
        <v>748</v>
      </c>
      <c r="G102" s="92">
        <f>IF((SUM(G99:G100))&gt;G96,G96,SUM(G99:G100))</f>
        <v>0</v>
      </c>
      <c r="I102" s="117"/>
      <c r="J102" s="117"/>
      <c r="K102" s="117"/>
      <c r="L102" s="117"/>
      <c r="M102" s="117"/>
      <c r="N102" s="117"/>
      <c r="O102" s="117"/>
      <c r="P102" s="117"/>
      <c r="Q102" s="117"/>
      <c r="R102" s="117"/>
      <c r="S102" s="117"/>
      <c r="T102" s="117"/>
      <c r="U102" s="117"/>
      <c r="V102" s="117"/>
      <c r="W102" s="117"/>
      <c r="X102" s="117"/>
      <c r="Y102" s="117"/>
      <c r="Z102" s="117"/>
      <c r="AA102" s="117"/>
      <c r="AC102" s="117"/>
      <c r="AN102" s="117"/>
    </row>
    <row r="103" spans="1:40" ht="25" customHeight="1" x14ac:dyDescent="0.3">
      <c r="A103" s="87"/>
      <c r="B103" s="87"/>
      <c r="C103" s="87"/>
      <c r="D103" s="115" t="s">
        <v>788</v>
      </c>
      <c r="E103" s="87"/>
      <c r="F103" s="87"/>
      <c r="G103" s="88"/>
      <c r="I103" s="117"/>
      <c r="J103" s="117"/>
      <c r="K103" s="117"/>
      <c r="L103" s="117"/>
      <c r="M103" s="117"/>
      <c r="N103" s="117"/>
      <c r="O103" s="117"/>
      <c r="P103" s="117"/>
      <c r="Q103" s="117"/>
      <c r="R103" s="117"/>
      <c r="S103" s="117"/>
      <c r="T103" s="117"/>
      <c r="U103" s="117"/>
      <c r="V103" s="117"/>
      <c r="W103" s="117"/>
      <c r="X103" s="117"/>
      <c r="Y103" s="117"/>
      <c r="Z103" s="117"/>
      <c r="AA103" s="117"/>
      <c r="AC103" s="117"/>
      <c r="AN103" s="117"/>
    </row>
    <row r="104" spans="1:40" ht="15" customHeight="1" x14ac:dyDescent="0.3">
      <c r="A104" s="87"/>
      <c r="B104" s="87"/>
      <c r="C104" s="293" t="str">
        <f>IF(AND(OR($G$64=$Q$129,$G$64=$Q$131,$G$64=$Q$132),OR($G$83=$Q$129,$G$83=$Q$131,$G$83=$Q$132)),"",IF(G104=$Q$129,"&gt;",""))</f>
        <v/>
      </c>
      <c r="D104" s="214"/>
      <c r="E104" s="134"/>
      <c r="F104" s="107" t="s">
        <v>789</v>
      </c>
      <c r="G104" s="232"/>
      <c r="I104" s="117"/>
      <c r="J104" s="117"/>
      <c r="K104" s="117"/>
      <c r="L104" s="117"/>
      <c r="M104" s="117"/>
      <c r="N104" s="117"/>
      <c r="O104" s="117"/>
      <c r="P104" s="117"/>
      <c r="Q104" s="117"/>
      <c r="R104" s="117"/>
      <c r="S104" s="117"/>
      <c r="T104" s="117"/>
      <c r="U104" s="117"/>
      <c r="V104" s="117"/>
      <c r="W104" s="117"/>
      <c r="X104" s="117"/>
      <c r="Y104" s="117"/>
      <c r="Z104" s="117"/>
      <c r="AA104" s="117"/>
      <c r="AC104" s="117"/>
      <c r="AN104" s="117"/>
    </row>
    <row r="105" spans="1:40" ht="25" customHeight="1" x14ac:dyDescent="0.3">
      <c r="A105" s="87"/>
      <c r="B105" s="87"/>
      <c r="C105" s="87"/>
      <c r="D105" s="87"/>
      <c r="E105" s="87"/>
      <c r="F105" s="87"/>
      <c r="G105" s="444" t="s">
        <v>790</v>
      </c>
      <c r="I105" s="117"/>
      <c r="J105" s="117"/>
      <c r="K105" s="117"/>
      <c r="L105" s="117"/>
      <c r="M105" s="117"/>
      <c r="N105" s="117"/>
      <c r="O105" s="117"/>
      <c r="P105" s="117"/>
      <c r="Q105" s="117"/>
      <c r="R105" s="117"/>
      <c r="S105" s="117"/>
      <c r="T105" s="117"/>
      <c r="U105" s="117"/>
      <c r="V105" s="117"/>
      <c r="W105" s="117"/>
      <c r="X105" s="117"/>
      <c r="Y105" s="117"/>
      <c r="Z105" s="117"/>
      <c r="AA105" s="117"/>
      <c r="AC105" s="117"/>
      <c r="AN105" s="117"/>
    </row>
    <row r="106" spans="1:40" ht="15" customHeight="1" x14ac:dyDescent="0.3">
      <c r="A106" s="87"/>
      <c r="B106" s="87"/>
      <c r="C106" s="87"/>
      <c r="D106" s="87"/>
      <c r="E106" s="87"/>
      <c r="F106" s="87"/>
      <c r="G106" s="174" t="str">
        <f>IF(ISERROR(IF(AND(G104="yes",G102&gt;G96),0,(G96-G102)*O137)),Q137,IF(AND(G104="yes",G102&gt;G96),0,(G96-G102)*O137))</f>
        <v>Requires building information</v>
      </c>
      <c r="I106" s="117"/>
      <c r="J106" s="117"/>
      <c r="K106" s="117"/>
      <c r="L106" s="117"/>
      <c r="M106" s="117"/>
      <c r="N106" s="117"/>
      <c r="O106" s="117"/>
      <c r="P106" s="117"/>
      <c r="Q106" s="117"/>
      <c r="R106" s="117"/>
      <c r="S106" s="117"/>
      <c r="T106" s="117"/>
      <c r="U106" s="117"/>
      <c r="V106" s="117"/>
      <c r="W106" s="117"/>
      <c r="X106" s="117"/>
      <c r="Y106" s="117"/>
      <c r="Z106" s="117"/>
      <c r="AA106" s="117"/>
      <c r="AC106" s="117"/>
      <c r="AN106" s="117"/>
    </row>
    <row r="107" spans="1:40" ht="15" customHeight="1" x14ac:dyDescent="0.3">
      <c r="A107" s="87"/>
      <c r="B107" s="87"/>
      <c r="C107" s="293" t="str">
        <f>IF(AND(OR($G$64=$Q$129,$G$64=$Q$131,$G$64=$Q$132),OR($G$83=$Q$129,$G$83=$Q$131,$G$83=$Q$132)),"",IF(AND(G104=$Q$130,G107=""),"&gt;",""))</f>
        <v/>
      </c>
      <c r="D107" s="172"/>
      <c r="E107" s="173"/>
      <c r="F107" s="107" t="s">
        <v>791</v>
      </c>
      <c r="G107" s="233"/>
      <c r="I107" s="117"/>
      <c r="J107" s="117"/>
      <c r="K107" s="117"/>
      <c r="L107" s="117"/>
      <c r="M107" s="117"/>
      <c r="N107" s="117"/>
      <c r="O107" s="117"/>
      <c r="P107" s="117"/>
      <c r="Q107" s="117"/>
      <c r="R107" s="117"/>
      <c r="S107" s="117"/>
      <c r="T107" s="117"/>
      <c r="U107" s="117"/>
      <c r="V107" s="117"/>
      <c r="W107" s="117"/>
      <c r="X107" s="117"/>
      <c r="Y107" s="117"/>
      <c r="Z107" s="117"/>
      <c r="AA107" s="117"/>
      <c r="AC107" s="117"/>
      <c r="AN107" s="117"/>
    </row>
    <row r="108" spans="1:40" ht="25" customHeight="1" x14ac:dyDescent="0.3">
      <c r="A108" s="87"/>
      <c r="B108" s="87"/>
      <c r="C108" s="87"/>
      <c r="D108" s="87"/>
      <c r="E108" s="87"/>
      <c r="F108" s="87"/>
      <c r="G108" s="444" t="s">
        <v>792</v>
      </c>
      <c r="I108" s="117"/>
      <c r="J108" s="117"/>
      <c r="K108" s="117"/>
      <c r="L108" s="117"/>
      <c r="M108" s="117"/>
      <c r="N108" s="117"/>
      <c r="O108" s="117"/>
      <c r="P108" s="117"/>
      <c r="Q108" s="117"/>
      <c r="R108" s="117"/>
      <c r="S108" s="117"/>
      <c r="T108" s="117"/>
      <c r="U108" s="117"/>
      <c r="V108" s="117"/>
      <c r="W108" s="117"/>
      <c r="X108" s="117"/>
      <c r="Y108" s="117"/>
      <c r="Z108" s="117"/>
      <c r="AA108" s="117"/>
      <c r="AC108" s="117"/>
      <c r="AN108" s="117"/>
    </row>
    <row r="109" spans="1:40" ht="15" customHeight="1" x14ac:dyDescent="0.3">
      <c r="A109" s="87"/>
      <c r="B109" s="87"/>
      <c r="C109" s="87"/>
      <c r="D109" s="87"/>
      <c r="E109" s="87"/>
      <c r="F109" s="113" t="s">
        <v>748</v>
      </c>
      <c r="G109" s="170" t="str">
        <f>IF(ISERROR((G107*G106)/O137),Q137,(G107*G106)/O137)</f>
        <v>Requires building information</v>
      </c>
      <c r="I109" s="117"/>
      <c r="J109" s="117"/>
      <c r="K109" s="117"/>
      <c r="L109" s="117"/>
      <c r="M109" s="117"/>
      <c r="N109" s="117"/>
      <c r="O109" s="117"/>
      <c r="P109" s="117"/>
      <c r="Q109" s="117"/>
      <c r="R109" s="117"/>
      <c r="S109" s="117"/>
      <c r="T109" s="117"/>
      <c r="U109" s="117"/>
      <c r="V109" s="117"/>
      <c r="W109" s="117"/>
      <c r="X109" s="117"/>
      <c r="Y109" s="117"/>
      <c r="Z109" s="117"/>
      <c r="AA109" s="117"/>
    </row>
    <row r="110" spans="1:40" ht="15" customHeight="1" x14ac:dyDescent="0.3">
      <c r="A110" s="87"/>
      <c r="B110" s="87"/>
      <c r="C110" s="87"/>
      <c r="D110" s="87"/>
      <c r="E110" s="87"/>
      <c r="F110" s="87"/>
      <c r="G110" s="88"/>
      <c r="I110" s="117"/>
      <c r="J110" s="117"/>
      <c r="K110" s="117"/>
      <c r="L110" s="117"/>
      <c r="M110" s="117"/>
      <c r="N110" s="117"/>
      <c r="O110" s="117"/>
      <c r="P110" s="117"/>
      <c r="Q110" s="117"/>
      <c r="R110" s="117"/>
      <c r="S110" s="117"/>
      <c r="T110" s="117"/>
      <c r="U110" s="117"/>
      <c r="V110" s="117"/>
      <c r="W110" s="117"/>
      <c r="X110" s="117"/>
      <c r="Y110" s="117"/>
      <c r="Z110" s="117"/>
      <c r="AA110" s="117"/>
    </row>
    <row r="111" spans="1:40" ht="39" customHeight="1" x14ac:dyDescent="0.3">
      <c r="A111" s="87"/>
      <c r="B111" s="87"/>
      <c r="C111" s="87"/>
      <c r="D111" s="87"/>
      <c r="E111" s="87"/>
      <c r="F111" s="87"/>
      <c r="G111" s="444" t="s">
        <v>793</v>
      </c>
      <c r="I111" s="117"/>
      <c r="J111" s="117"/>
      <c r="K111" s="117"/>
      <c r="L111" s="117"/>
      <c r="M111" s="117"/>
      <c r="N111" s="117"/>
      <c r="O111" s="117"/>
      <c r="P111" s="117"/>
      <c r="Q111" s="117"/>
      <c r="R111" s="117"/>
      <c r="S111" s="117"/>
      <c r="T111" s="117"/>
      <c r="U111" s="117"/>
      <c r="V111" s="117"/>
      <c r="W111" s="117"/>
      <c r="X111" s="117"/>
      <c r="Y111" s="117"/>
      <c r="Z111" s="117"/>
      <c r="AA111" s="117"/>
    </row>
    <row r="112" spans="1:40" ht="15" customHeight="1" x14ac:dyDescent="0.3">
      <c r="A112" s="87"/>
      <c r="B112" s="87"/>
      <c r="C112" s="87"/>
      <c r="D112" s="87"/>
      <c r="E112" s="87"/>
      <c r="F112" s="113" t="s">
        <v>749</v>
      </c>
      <c r="G112" s="92" t="str">
        <f>IF(ISERROR(G102+G109),Q137,G102+G109)</f>
        <v>Requires building information</v>
      </c>
      <c r="I112" s="117"/>
      <c r="J112" s="117"/>
      <c r="K112" s="117"/>
      <c r="L112" s="117"/>
      <c r="M112" s="117"/>
      <c r="N112" s="117"/>
      <c r="O112" s="117"/>
      <c r="P112" s="117"/>
      <c r="Q112" s="117"/>
      <c r="R112" s="117"/>
      <c r="S112" s="117"/>
      <c r="T112" s="117"/>
      <c r="U112" s="117"/>
      <c r="V112" s="117"/>
      <c r="W112" s="117"/>
      <c r="X112" s="117"/>
      <c r="Y112" s="117"/>
      <c r="Z112" s="117"/>
      <c r="AA112" s="117"/>
    </row>
    <row r="113" spans="1:27" ht="25" customHeight="1" x14ac:dyDescent="0.3">
      <c r="A113" s="87"/>
      <c r="B113" s="87"/>
      <c r="C113" s="87"/>
      <c r="D113" s="87"/>
      <c r="E113" s="87"/>
      <c r="F113" s="87"/>
      <c r="G113" s="88"/>
      <c r="I113" s="117"/>
      <c r="J113" s="117"/>
      <c r="K113" s="117"/>
      <c r="L113" s="117"/>
      <c r="M113" s="117"/>
      <c r="N113" s="117"/>
      <c r="O113" s="117"/>
      <c r="P113" s="117"/>
      <c r="Q113" s="117"/>
      <c r="R113" s="117"/>
      <c r="S113" s="117"/>
      <c r="T113" s="117"/>
      <c r="U113" s="117"/>
      <c r="V113" s="117"/>
      <c r="W113" s="117"/>
      <c r="X113" s="117"/>
      <c r="Y113" s="117"/>
      <c r="Z113" s="117"/>
      <c r="AA113" s="117"/>
    </row>
    <row r="114" spans="1:27" ht="32.15" customHeight="1" x14ac:dyDescent="0.3">
      <c r="A114" s="87"/>
      <c r="B114" s="422" t="s">
        <v>794</v>
      </c>
      <c r="C114" s="422"/>
      <c r="D114" s="422"/>
      <c r="E114" s="422"/>
      <c r="F114" s="422"/>
      <c r="G114" s="422"/>
      <c r="I114" s="117"/>
      <c r="J114" s="117"/>
      <c r="K114" s="117"/>
      <c r="L114" s="117"/>
      <c r="M114" s="117"/>
      <c r="N114" s="117"/>
      <c r="O114" s="117"/>
      <c r="P114" s="117"/>
      <c r="Q114" s="117"/>
      <c r="R114" s="117"/>
      <c r="S114" s="117"/>
      <c r="T114" s="117"/>
      <c r="U114" s="117"/>
      <c r="V114" s="117"/>
      <c r="W114" s="117"/>
      <c r="X114" s="117"/>
      <c r="Y114" s="117"/>
      <c r="Z114" s="117"/>
      <c r="AA114" s="117"/>
    </row>
    <row r="115" spans="1:27" ht="25" customHeight="1" x14ac:dyDescent="0.3">
      <c r="A115" s="87"/>
      <c r="B115" s="87"/>
      <c r="C115" s="136"/>
      <c r="D115" s="87"/>
      <c r="E115" s="87"/>
      <c r="F115" s="87"/>
      <c r="G115" s="88"/>
      <c r="I115" s="117"/>
      <c r="J115" s="117"/>
      <c r="K115" s="117"/>
      <c r="L115" s="117"/>
      <c r="M115" s="117"/>
      <c r="N115" s="117"/>
      <c r="O115" s="117"/>
      <c r="P115" s="117"/>
      <c r="Q115" s="117"/>
      <c r="R115" s="117"/>
      <c r="S115" s="117"/>
      <c r="T115" s="117"/>
      <c r="U115" s="117"/>
      <c r="V115" s="117"/>
      <c r="W115" s="117"/>
      <c r="X115" s="117"/>
      <c r="Y115" s="117"/>
      <c r="Z115" s="117"/>
      <c r="AA115" s="117"/>
    </row>
    <row r="116" spans="1:27" ht="25" customHeight="1" x14ac:dyDescent="0.3">
      <c r="A116" s="87"/>
      <c r="B116" s="87"/>
      <c r="C116" s="136"/>
      <c r="E116" s="87"/>
      <c r="F116" s="444" t="s">
        <v>738</v>
      </c>
      <c r="G116" s="444" t="s">
        <v>795</v>
      </c>
      <c r="I116" s="117"/>
      <c r="J116" s="117"/>
      <c r="K116" s="117"/>
      <c r="L116" s="117"/>
      <c r="M116" s="117"/>
      <c r="N116" s="117"/>
      <c r="O116" s="117"/>
      <c r="P116" s="117"/>
      <c r="Q116" s="117"/>
      <c r="R116" s="117"/>
      <c r="S116" s="117"/>
      <c r="T116" s="117"/>
      <c r="U116" s="117"/>
      <c r="V116" s="117"/>
      <c r="W116" s="117"/>
      <c r="X116" s="117"/>
      <c r="Y116" s="117"/>
      <c r="Z116" s="117"/>
      <c r="AA116" s="117"/>
    </row>
    <row r="117" spans="1:27" ht="15" customHeight="1" x14ac:dyDescent="0.3">
      <c r="A117" s="87"/>
      <c r="B117" s="447"/>
      <c r="C117" s="448"/>
      <c r="D117" s="448"/>
      <c r="E117" s="449" t="s">
        <v>796</v>
      </c>
      <c r="F117" s="175" t="str">
        <f>IF(ISERROR(R60),Q137,R60)</f>
        <v>Requires building information</v>
      </c>
      <c r="G117" s="175" t="str">
        <f>IF(ISERROR((F117/1000)*$F$13),Q137,(F117/1000)*$F$13)</f>
        <v>Requires building information</v>
      </c>
      <c r="I117" s="117"/>
      <c r="J117" s="117"/>
      <c r="K117" s="117"/>
      <c r="L117" s="117"/>
      <c r="M117" s="117"/>
      <c r="N117" s="117"/>
      <c r="O117" s="117"/>
      <c r="P117" s="117"/>
      <c r="Q117" s="117"/>
      <c r="R117" s="117"/>
      <c r="S117" s="117"/>
      <c r="T117" s="117"/>
      <c r="U117" s="117"/>
      <c r="V117" s="117"/>
      <c r="W117" s="117"/>
      <c r="X117" s="117"/>
      <c r="Y117" s="117"/>
      <c r="Z117" s="117"/>
      <c r="AA117" s="117"/>
    </row>
    <row r="118" spans="1:27" x14ac:dyDescent="0.3">
      <c r="A118" s="87"/>
      <c r="B118" s="87"/>
      <c r="C118" s="87"/>
      <c r="D118" s="87"/>
      <c r="E118" s="136"/>
      <c r="F118" s="138"/>
      <c r="G118" s="88"/>
      <c r="I118" s="117"/>
      <c r="J118" s="117"/>
      <c r="K118" s="117"/>
      <c r="L118" s="117"/>
      <c r="M118" s="117"/>
      <c r="N118" s="117"/>
      <c r="O118" s="117"/>
      <c r="P118" s="117"/>
      <c r="Q118" s="117"/>
      <c r="R118" s="117"/>
      <c r="S118" s="117"/>
      <c r="T118" s="117"/>
      <c r="U118" s="117"/>
      <c r="V118" s="117"/>
      <c r="W118" s="117"/>
      <c r="X118" s="117"/>
      <c r="Y118" s="117"/>
      <c r="Z118" s="117"/>
      <c r="AA118" s="117"/>
    </row>
    <row r="119" spans="1:27" ht="15" customHeight="1" x14ac:dyDescent="0.3">
      <c r="A119" s="87"/>
      <c r="B119" s="450"/>
      <c r="C119" s="442"/>
      <c r="D119" s="448"/>
      <c r="E119" s="449" t="s">
        <v>797</v>
      </c>
      <c r="F119" s="175" t="str">
        <f>IF(ISERROR(G60-R63),Q137,G60-R63)</f>
        <v>Requires building information</v>
      </c>
      <c r="G119" s="175" t="str">
        <f>IF(ISERROR((F119/1000)*$F$13),Q137,(F119/1000)*$F$13)</f>
        <v>Requires building information</v>
      </c>
      <c r="I119" s="117"/>
      <c r="J119" s="117"/>
      <c r="K119" s="117"/>
      <c r="L119" s="117"/>
      <c r="M119" s="117"/>
      <c r="N119" s="117"/>
      <c r="O119" s="117"/>
      <c r="P119" s="117"/>
      <c r="Q119" s="117"/>
      <c r="R119" s="117"/>
      <c r="S119" s="117"/>
      <c r="T119" s="117"/>
      <c r="U119" s="117"/>
      <c r="V119" s="117"/>
      <c r="W119" s="117"/>
      <c r="X119" s="117"/>
      <c r="Y119" s="117"/>
      <c r="Z119" s="117"/>
      <c r="AA119" s="117"/>
    </row>
    <row r="120" spans="1:27" x14ac:dyDescent="0.3">
      <c r="A120" s="87"/>
      <c r="B120" s="87"/>
      <c r="C120" s="87"/>
      <c r="D120" s="87"/>
      <c r="E120" s="136"/>
      <c r="F120" s="138"/>
      <c r="G120" s="138"/>
      <c r="I120" s="117"/>
      <c r="J120" s="117"/>
      <c r="K120" s="117"/>
      <c r="L120" s="117"/>
      <c r="M120" s="117"/>
      <c r="N120" s="117"/>
      <c r="O120" s="117"/>
      <c r="P120" s="117"/>
      <c r="Q120" s="117"/>
      <c r="R120" s="117"/>
      <c r="S120" s="117"/>
      <c r="T120" s="117"/>
      <c r="U120" s="117"/>
      <c r="V120" s="117"/>
      <c r="W120" s="117"/>
      <c r="X120" s="117"/>
      <c r="Y120" s="117"/>
      <c r="Z120" s="117"/>
      <c r="AA120" s="117"/>
    </row>
    <row r="121" spans="1:27" ht="15" customHeight="1" x14ac:dyDescent="0.3">
      <c r="A121" s="87"/>
      <c r="B121" s="450"/>
      <c r="C121" s="442"/>
      <c r="D121" s="448"/>
      <c r="E121" s="449" t="s">
        <v>798</v>
      </c>
      <c r="F121" s="175" t="str">
        <f>IF(ISERROR(G112),Q137,G112)</f>
        <v>Requires building information</v>
      </c>
      <c r="G121" s="175" t="str">
        <f>IF(ISERROR((F121/1000)*$F$13),Q137,(F121/1000)*$F$13)</f>
        <v>Requires building information</v>
      </c>
      <c r="H121" s="119"/>
      <c r="I121" s="139"/>
      <c r="J121" s="139"/>
      <c r="K121" s="139"/>
      <c r="L121" s="139"/>
      <c r="M121" s="117"/>
      <c r="N121" s="142" t="s">
        <v>800</v>
      </c>
      <c r="O121" s="140"/>
      <c r="P121" s="117"/>
      <c r="Q121" s="117"/>
      <c r="R121" s="474" t="s">
        <v>807</v>
      </c>
      <c r="S121" s="117"/>
      <c r="T121" s="117"/>
      <c r="U121" s="117"/>
      <c r="V121" s="117"/>
      <c r="W121" s="117"/>
      <c r="X121" s="117"/>
      <c r="Y121" s="117"/>
      <c r="Z121" s="117"/>
      <c r="AA121" s="117"/>
    </row>
    <row r="122" spans="1:27" x14ac:dyDescent="0.3">
      <c r="A122" s="87"/>
      <c r="B122" s="87"/>
      <c r="C122" s="87"/>
      <c r="D122" s="87"/>
      <c r="E122" s="136"/>
      <c r="F122" s="138"/>
      <c r="G122" s="138"/>
      <c r="H122" s="119"/>
      <c r="I122" s="117"/>
      <c r="J122" s="117"/>
      <c r="K122" s="117"/>
      <c r="L122" s="117"/>
      <c r="M122" s="117"/>
      <c r="N122" s="143" t="e">
        <f>1-(F119-F121)/F117</f>
        <v>#VALUE!</v>
      </c>
      <c r="O122" s="140" t="s">
        <v>802</v>
      </c>
      <c r="P122" s="117"/>
      <c r="Q122" s="117"/>
      <c r="R122" s="475" t="s">
        <v>699</v>
      </c>
      <c r="S122" s="117"/>
      <c r="T122" s="117"/>
      <c r="U122" s="117"/>
      <c r="V122" s="117"/>
      <c r="W122" s="117"/>
      <c r="X122" s="117"/>
      <c r="Y122" s="117"/>
      <c r="Z122" s="117"/>
      <c r="AA122" s="117"/>
    </row>
    <row r="123" spans="1:27" ht="15" customHeight="1" x14ac:dyDescent="0.3">
      <c r="A123" s="87"/>
      <c r="B123" s="447"/>
      <c r="C123" s="448"/>
      <c r="D123" s="448"/>
      <c r="E123" s="449" t="s">
        <v>799</v>
      </c>
      <c r="F123" s="175" t="str">
        <f>IF(ISERROR(IF(AND((OR(G83=Q132,G83=Q131)),((OR(G64=Q132,G64=Q131)))),Q132,IF(OR(N124="1 credit",N124="2 credits",N124="3 credits"),Q135,IF(OR(N124="4 credits",N124="5 credits"),(IF((1-(F119/F117))&lt;0.25,"No","Yes")))))),Q137,IF(AND((OR(G83=Q132,G83=Q131)),((OR(G64=Q132,G64=Q131)))),Q132,IF(OR(N124="1 credit",N124="2 credits",N124="3 credits"),Q135,IF(OR(N124="4 credits",N124="5 credits"),(IF((1-(F119/F117))&lt;0.25,"No","Yes"))))))</f>
        <v>Requires building information</v>
      </c>
      <c r="G123" s="138"/>
      <c r="H123" s="119"/>
      <c r="I123" s="141"/>
      <c r="J123" s="141"/>
      <c r="K123" s="141"/>
      <c r="L123" s="141"/>
      <c r="M123" s="87"/>
      <c r="N123" s="144"/>
      <c r="O123" s="140"/>
      <c r="P123" s="117"/>
      <c r="Q123" s="117"/>
      <c r="R123" s="475" t="s">
        <v>813</v>
      </c>
      <c r="S123" s="117"/>
      <c r="T123" s="117"/>
      <c r="U123" s="117"/>
      <c r="V123" s="117"/>
      <c r="W123" s="117"/>
      <c r="X123" s="117"/>
      <c r="Y123" s="117"/>
      <c r="Z123" s="117"/>
      <c r="AA123" s="117"/>
    </row>
    <row r="124" spans="1:27" ht="25" customHeight="1" x14ac:dyDescent="0.3">
      <c r="A124" s="87"/>
      <c r="B124" s="87"/>
      <c r="C124" s="87"/>
      <c r="D124" s="87"/>
      <c r="E124" s="136"/>
      <c r="F124" s="138"/>
      <c r="G124" s="138"/>
      <c r="H124" s="119"/>
      <c r="I124" s="117"/>
      <c r="J124" s="117"/>
      <c r="K124" s="117"/>
      <c r="L124" s="117"/>
      <c r="M124" s="87"/>
      <c r="N124" s="143" t="e">
        <f>VLOOKUP(N122,CreditsInd,2,TRUE)</f>
        <v>#VALUE!</v>
      </c>
      <c r="O124" s="140" t="s">
        <v>804</v>
      </c>
      <c r="P124" s="117"/>
      <c r="Q124" s="117"/>
      <c r="R124" s="475" t="s">
        <v>816</v>
      </c>
      <c r="S124" s="117"/>
      <c r="T124" s="117"/>
      <c r="U124" s="117"/>
      <c r="V124" s="117"/>
      <c r="W124" s="117"/>
      <c r="X124" s="117"/>
      <c r="Y124" s="117"/>
      <c r="Z124" s="117"/>
      <c r="AA124" s="117"/>
    </row>
    <row r="125" spans="1:27" ht="15" customHeight="1" x14ac:dyDescent="0.3">
      <c r="A125" s="87"/>
      <c r="B125" s="450"/>
      <c r="C125" s="442"/>
      <c r="D125" s="448"/>
      <c r="E125" s="449" t="s">
        <v>801</v>
      </c>
      <c r="F125" s="175" t="str">
        <f>IF(ISERROR(IF(OR(F123="Yes",F123=Q132),F119-F121,(F119-((1-(F119/F117))*F121)))),Q137,IF(OR(F123="Yes",F123=Q132),F119-F121,(F119-((1-(F119/F117))*F121))))</f>
        <v>Requires building information</v>
      </c>
      <c r="G125" s="175" t="str">
        <f>IF(ISERROR((F125/1000)*$F$13),Q137,((F125/1000)*$F$13))</f>
        <v>Requires building information</v>
      </c>
      <c r="H125" s="119"/>
      <c r="I125" s="128"/>
      <c r="J125" s="128"/>
      <c r="K125" s="128"/>
      <c r="L125" s="128"/>
      <c r="M125" s="87"/>
      <c r="N125" s="140"/>
      <c r="O125" s="117"/>
      <c r="P125" s="117"/>
      <c r="Q125" s="117"/>
      <c r="R125" s="475" t="s">
        <v>818</v>
      </c>
      <c r="S125" s="117"/>
      <c r="T125" s="117"/>
      <c r="U125" s="117"/>
      <c r="V125" s="117"/>
      <c r="W125" s="117"/>
      <c r="X125" s="117"/>
      <c r="Y125" s="117"/>
      <c r="Z125" s="117"/>
      <c r="AA125" s="117"/>
    </row>
    <row r="126" spans="1:27" x14ac:dyDescent="0.3">
      <c r="A126" s="87"/>
      <c r="B126" s="87"/>
      <c r="C126" s="87"/>
      <c r="D126" s="87"/>
      <c r="E126" s="136"/>
      <c r="F126" s="138"/>
      <c r="G126" s="138"/>
      <c r="H126" s="119"/>
      <c r="I126" s="117"/>
      <c r="J126" s="117"/>
      <c r="K126" s="117"/>
      <c r="L126" s="117"/>
      <c r="M126" s="87"/>
      <c r="N126" s="128"/>
      <c r="O126" s="117"/>
      <c r="P126" s="117"/>
      <c r="Q126" s="117"/>
      <c r="R126" s="117"/>
      <c r="S126" s="117"/>
      <c r="T126" s="117"/>
      <c r="U126" s="117"/>
      <c r="V126" s="117"/>
      <c r="W126" s="117"/>
      <c r="X126" s="117"/>
      <c r="Y126" s="117"/>
      <c r="Z126" s="117"/>
      <c r="AA126" s="117"/>
    </row>
    <row r="127" spans="1:27" ht="15" customHeight="1" x14ac:dyDescent="0.3">
      <c r="A127" s="87"/>
      <c r="B127" s="450"/>
      <c r="C127" s="442"/>
      <c r="D127" s="448"/>
      <c r="E127" s="449" t="s">
        <v>803</v>
      </c>
      <c r="F127" s="176" t="str">
        <f>IF(OR(F117=Q137,F119=Q137,F121=Q137,F123=Q137),Q137,IF(OR(F123="yes",F123=Q135,F123=Q132),N122,(IF(F123="No",1-((F119-(F121*(1-(F119/F117))))/F117)))))</f>
        <v>Requires building information</v>
      </c>
      <c r="G127" s="88"/>
      <c r="H127" s="119"/>
      <c r="I127" s="117"/>
      <c r="J127" s="117"/>
      <c r="K127" s="117"/>
      <c r="L127" s="117"/>
      <c r="N127" s="140"/>
      <c r="O127" s="117"/>
      <c r="P127" s="117"/>
      <c r="Q127" s="117"/>
      <c r="R127" s="117"/>
      <c r="S127" s="117"/>
      <c r="T127" s="117"/>
      <c r="U127" s="117"/>
      <c r="V127" s="117"/>
      <c r="W127" s="117"/>
      <c r="X127" s="117"/>
      <c r="Y127" s="117"/>
      <c r="Z127" s="117"/>
      <c r="AA127" s="117"/>
    </row>
    <row r="128" spans="1:27" x14ac:dyDescent="0.3">
      <c r="A128" s="87"/>
      <c r="B128" s="87"/>
      <c r="C128" s="87"/>
      <c r="D128" s="87"/>
      <c r="E128" s="113"/>
      <c r="F128" s="145"/>
      <c r="G128" s="88"/>
      <c r="H128" s="119"/>
      <c r="I128" s="117"/>
      <c r="J128" s="117"/>
      <c r="K128" s="117"/>
      <c r="L128" s="117"/>
      <c r="M128" s="146"/>
      <c r="N128" s="140"/>
      <c r="O128" s="117"/>
      <c r="P128" s="117"/>
      <c r="Q128" s="117"/>
      <c r="R128" s="117"/>
      <c r="S128" s="117"/>
      <c r="T128" s="117"/>
      <c r="U128" s="117"/>
      <c r="V128" s="117"/>
      <c r="W128" s="117"/>
      <c r="X128" s="117"/>
      <c r="Y128" s="117"/>
      <c r="Z128" s="117"/>
      <c r="AA128" s="117"/>
    </row>
    <row r="129" spans="1:27" ht="15" customHeight="1" x14ac:dyDescent="0.3">
      <c r="A129" s="87"/>
      <c r="B129" s="450"/>
      <c r="C129" s="442"/>
      <c r="D129" s="448"/>
      <c r="E129" s="449" t="s">
        <v>805</v>
      </c>
      <c r="F129" s="177" t="str">
        <f>IF(ISERROR(VLOOKUP(F127,CreditsInd,2,TRUE)),Q137,VLOOKUP(F127,CreditsInd,2,TRUE))</f>
        <v>Requires building information</v>
      </c>
      <c r="G129" s="88"/>
      <c r="H129" s="119"/>
      <c r="I129" s="128"/>
      <c r="J129" s="128"/>
      <c r="K129" s="128"/>
      <c r="L129" s="128"/>
      <c r="M129" s="128"/>
      <c r="N129" s="117"/>
      <c r="O129" s="117"/>
      <c r="P129" s="117" t="s">
        <v>699</v>
      </c>
      <c r="Q129" s="117" t="s">
        <v>699</v>
      </c>
      <c r="R129" s="117" t="s">
        <v>699</v>
      </c>
      <c r="S129" s="117" t="s">
        <v>699</v>
      </c>
      <c r="T129" s="147">
        <v>0</v>
      </c>
      <c r="U129" s="117"/>
      <c r="V129" s="117"/>
      <c r="W129" s="117"/>
      <c r="X129" s="117"/>
      <c r="Y129" s="117"/>
      <c r="Z129" s="117"/>
      <c r="AA129" s="117"/>
    </row>
    <row r="130" spans="1:27" ht="15" customHeight="1" x14ac:dyDescent="0.3">
      <c r="A130" s="87"/>
      <c r="B130" s="87"/>
      <c r="C130" s="87"/>
      <c r="D130" s="87"/>
      <c r="E130" s="113"/>
      <c r="F130" s="91"/>
      <c r="G130" s="88"/>
      <c r="H130" s="119"/>
      <c r="I130" s="117"/>
      <c r="J130" s="117"/>
      <c r="K130" s="117"/>
      <c r="L130" s="117"/>
      <c r="M130" s="147"/>
      <c r="N130" s="119"/>
      <c r="O130" s="133" t="s">
        <v>809</v>
      </c>
      <c r="P130" s="117" t="s">
        <v>810</v>
      </c>
      <c r="Q130" s="117" t="s">
        <v>811</v>
      </c>
      <c r="R130" s="128" t="str">
        <f>'Activity database'!I3</f>
        <v>WC - male (urinals installed)</v>
      </c>
      <c r="S130" s="149" t="s">
        <v>812</v>
      </c>
      <c r="T130" s="147">
        <v>0.01</v>
      </c>
      <c r="U130" s="117"/>
      <c r="V130" s="117"/>
      <c r="W130" s="117"/>
      <c r="X130" s="117"/>
      <c r="Y130" s="117"/>
      <c r="Z130" s="117"/>
      <c r="AA130" s="117"/>
    </row>
    <row r="131" spans="1:27" ht="15" customHeight="1" x14ac:dyDescent="0.3">
      <c r="A131" s="87"/>
      <c r="B131" s="450"/>
      <c r="C131" s="442"/>
      <c r="D131" s="448"/>
      <c r="E131" s="449" t="s">
        <v>835</v>
      </c>
      <c r="F131" s="177" t="str">
        <f>IF(F127=Q137,Q137,IF(F127&gt;=ExempInd,"1 innovation credit achieved","Exemplary level not achieved"))</f>
        <v>Requires building information</v>
      </c>
      <c r="G131" s="88"/>
      <c r="H131" s="148"/>
      <c r="I131" s="128"/>
      <c r="J131" s="128"/>
      <c r="K131" s="128"/>
      <c r="L131" s="128"/>
      <c r="M131" s="147"/>
      <c r="N131" s="130" t="str">
        <f t="shared" ref="N131:N136" si="5">B16</f>
        <v>Industrial - Process area</v>
      </c>
      <c r="O131" s="132">
        <f>IF(F16="Yes",VLOOKUP(B16,'Activity database'!A:BO,3,FALSE)*G16,0)</f>
        <v>0</v>
      </c>
      <c r="P131" s="117" t="s">
        <v>814</v>
      </c>
      <c r="Q131" s="117" t="s">
        <v>753</v>
      </c>
      <c r="R131" s="128" t="str">
        <f>'Activity database'!J3</f>
        <v>WC - male (no urinals installed)</v>
      </c>
      <c r="S131" s="149" t="s">
        <v>815</v>
      </c>
      <c r="T131" s="147">
        <v>0.02</v>
      </c>
      <c r="U131" s="117"/>
      <c r="V131" s="117"/>
      <c r="W131" s="117"/>
      <c r="X131" s="117"/>
      <c r="Y131" s="117"/>
      <c r="Z131" s="117"/>
      <c r="AA131" s="117"/>
    </row>
    <row r="132" spans="1:27" ht="15" customHeight="1" x14ac:dyDescent="0.3">
      <c r="A132" s="87"/>
      <c r="B132" s="87"/>
      <c r="C132" s="87"/>
      <c r="D132" s="87"/>
      <c r="E132" s="87"/>
      <c r="F132" s="87"/>
      <c r="G132" s="88"/>
      <c r="H132" s="119"/>
      <c r="I132" s="117"/>
      <c r="J132" s="117"/>
      <c r="K132" s="117"/>
      <c r="L132" s="117"/>
      <c r="M132" s="117"/>
      <c r="N132" s="130" t="str">
        <f t="shared" si="5"/>
        <v>Industrial - Laboratory area</v>
      </c>
      <c r="O132" s="132">
        <f>IF(F17="Yes",VLOOKUP(B17,'Activity database'!A:BO,3,FALSE)*G17,0)</f>
        <v>0</v>
      </c>
      <c r="P132" s="117"/>
      <c r="Q132" s="117" t="s">
        <v>817</v>
      </c>
      <c r="R132" s="117"/>
      <c r="S132" s="117"/>
      <c r="T132" s="147">
        <v>0.03</v>
      </c>
      <c r="U132" s="117"/>
      <c r="V132" s="117"/>
      <c r="W132" s="117"/>
      <c r="X132" s="117"/>
      <c r="Y132" s="117"/>
      <c r="Z132" s="117"/>
      <c r="AA132" s="117"/>
    </row>
    <row r="133" spans="1:27" ht="15" customHeight="1" x14ac:dyDescent="0.3">
      <c r="A133" s="87"/>
      <c r="B133" s="450"/>
      <c r="C133" s="442"/>
      <c r="D133" s="448"/>
      <c r="E133" s="449" t="s">
        <v>808</v>
      </c>
      <c r="F133" s="175" t="str">
        <f>IF(ISERROR(F119+R63-F121),Q137,F119+R63-F121)</f>
        <v>Requires building information</v>
      </c>
      <c r="G133" s="175" t="str">
        <f>IF(ISERROR((F133/1000)*$F$13),Q137,(F133/1000)*$F$13)</f>
        <v>Requires building information</v>
      </c>
      <c r="H133" s="119"/>
      <c r="I133" s="117"/>
      <c r="J133" s="117"/>
      <c r="K133" s="117"/>
      <c r="L133" s="117"/>
      <c r="M133" s="128"/>
      <c r="N133" s="130" t="str">
        <f t="shared" si="5"/>
        <v>Industrial - Warehouse storage</v>
      </c>
      <c r="O133" s="132">
        <f>IF(F18="Yes",VLOOKUP(B18,'Activity database'!A:BO,3,FALSE)*G18,0)</f>
        <v>0</v>
      </c>
      <c r="P133" s="117"/>
      <c r="Q133" s="117"/>
      <c r="R133" s="140"/>
      <c r="S133" s="117"/>
      <c r="T133" s="147">
        <v>0.04</v>
      </c>
      <c r="U133" s="117"/>
      <c r="V133" s="117"/>
      <c r="W133" s="117"/>
      <c r="X133" s="117"/>
      <c r="Y133" s="117"/>
      <c r="Z133" s="117"/>
      <c r="AA133" s="117"/>
    </row>
    <row r="134" spans="1:27" x14ac:dyDescent="0.3">
      <c r="A134" s="87"/>
      <c r="B134" s="87"/>
      <c r="C134" s="87"/>
      <c r="D134" s="150"/>
      <c r="E134" s="151"/>
      <c r="F134" s="87"/>
      <c r="G134" s="88"/>
      <c r="H134" s="119"/>
      <c r="I134" s="117"/>
      <c r="J134" s="117"/>
      <c r="K134" s="117"/>
      <c r="L134" s="117"/>
      <c r="M134" s="128"/>
      <c r="N134" s="130" t="str">
        <f t="shared" si="5"/>
        <v>Industrial - Office areas</v>
      </c>
      <c r="O134" s="132">
        <f>IF(F19="Yes",VLOOKUP(B19,'Activity database'!A:BO,3,FALSE)*G19,0)</f>
        <v>0</v>
      </c>
      <c r="P134" s="117"/>
      <c r="Q134" s="117"/>
      <c r="R134" s="117" t="s">
        <v>699</v>
      </c>
      <c r="S134" s="117"/>
      <c r="T134" s="147">
        <v>0.05</v>
      </c>
      <c r="U134" s="117"/>
      <c r="V134" s="117"/>
      <c r="W134" s="117"/>
      <c r="X134" s="117"/>
      <c r="Y134" s="117"/>
      <c r="Z134" s="117"/>
      <c r="AA134" s="117"/>
    </row>
    <row r="135" spans="1:27" x14ac:dyDescent="0.3">
      <c r="A135" s="87"/>
      <c r="B135" s="87"/>
      <c r="C135" s="87"/>
      <c r="D135" s="152"/>
      <c r="E135" s="151"/>
      <c r="F135" s="87"/>
      <c r="G135" s="88"/>
      <c r="H135" s="119"/>
      <c r="I135" s="117"/>
      <c r="J135" s="117"/>
      <c r="K135" s="117"/>
      <c r="L135" s="117"/>
      <c r="M135" s="153"/>
      <c r="N135" s="130" t="str">
        <f t="shared" si="5"/>
        <v>Industrial - Staff canteen dining area</v>
      </c>
      <c r="O135" s="132">
        <f>IF(F20="Yes",VLOOKUP(B20,'Activity database'!A:BO,3,FALSE)*G20,0)</f>
        <v>0</v>
      </c>
      <c r="P135" s="154"/>
      <c r="Q135" s="117" t="s">
        <v>819</v>
      </c>
      <c r="R135" s="140" t="str">
        <f>'Activity database'!A9</f>
        <v>Industrial - 24hr x 7 day operation</v>
      </c>
      <c r="S135" s="117"/>
      <c r="T135" s="147">
        <v>0.06</v>
      </c>
      <c r="U135" s="117"/>
      <c r="V135" s="117"/>
      <c r="W135" s="117"/>
      <c r="X135" s="117"/>
      <c r="Y135" s="117"/>
      <c r="Z135" s="117"/>
      <c r="AA135" s="117"/>
    </row>
    <row r="136" spans="1:27" x14ac:dyDescent="0.3">
      <c r="A136" s="87"/>
      <c r="B136" s="87"/>
      <c r="C136" s="87"/>
      <c r="D136" s="152"/>
      <c r="E136" s="151"/>
      <c r="F136" s="87"/>
      <c r="G136" s="88"/>
      <c r="H136" s="119"/>
      <c r="I136" s="117"/>
      <c r="J136" s="117"/>
      <c r="K136" s="117"/>
      <c r="L136" s="117"/>
      <c r="M136" s="117"/>
      <c r="N136" s="130" t="str">
        <f t="shared" si="5"/>
        <v>Industrial - Fitness suite/gym (with changing facility and showers)</v>
      </c>
      <c r="O136" s="132">
        <f>IF(F21="Yes",VLOOKUP(B21,'Activity database'!A:BO,3,FALSE)*G21,0)</f>
        <v>0</v>
      </c>
      <c r="P136" s="117"/>
      <c r="Q136" s="117"/>
      <c r="R136" s="117" t="str">
        <f>'Activity database'!A10</f>
        <v>Industrial - typical business hours of operation</v>
      </c>
      <c r="S136" s="117"/>
      <c r="T136" s="147">
        <v>7.0000000000000007E-2</v>
      </c>
      <c r="U136" s="117"/>
      <c r="V136" s="117"/>
      <c r="W136" s="117"/>
      <c r="X136" s="117"/>
      <c r="Y136" s="139"/>
      <c r="Z136" s="117"/>
      <c r="AA136" s="117"/>
    </row>
    <row r="137" spans="1:27" x14ac:dyDescent="0.3">
      <c r="A137" s="87"/>
      <c r="B137" s="87"/>
      <c r="C137" s="87"/>
      <c r="D137" s="152"/>
      <c r="E137" s="151"/>
      <c r="F137" s="87"/>
      <c r="G137" s="88"/>
      <c r="I137" s="117"/>
      <c r="J137" s="117"/>
      <c r="K137" s="117"/>
      <c r="L137" s="117"/>
      <c r="M137" s="117"/>
      <c r="N137" s="130" t="s">
        <v>821</v>
      </c>
      <c r="O137" s="132" t="str">
        <f>IF(Ind_act=R135,SUM(O131:O136)*G14,IF(Ind_act=R136,SUM(O131:O136),IF(Ind_act=R134,Q137)))</f>
        <v>Requires building information</v>
      </c>
      <c r="P137" s="154"/>
      <c r="Q137" s="117" t="s">
        <v>820</v>
      </c>
      <c r="R137" s="140"/>
      <c r="S137" s="117"/>
      <c r="T137" s="147">
        <v>0.08</v>
      </c>
      <c r="U137" s="117"/>
      <c r="V137" s="117"/>
      <c r="W137" s="117"/>
      <c r="X137" s="117"/>
      <c r="Y137" s="117"/>
      <c r="Z137" s="117"/>
      <c r="AA137" s="117"/>
    </row>
    <row r="138" spans="1:27" x14ac:dyDescent="0.3">
      <c r="A138" s="87"/>
      <c r="B138" s="87"/>
      <c r="C138" s="87"/>
      <c r="D138" s="152"/>
      <c r="E138" s="151"/>
      <c r="F138" s="87"/>
      <c r="G138" s="88"/>
      <c r="I138" s="117"/>
      <c r="J138" s="117"/>
      <c r="K138" s="117"/>
      <c r="L138" s="117"/>
      <c r="M138" s="117"/>
      <c r="N138" s="117"/>
      <c r="O138" s="117"/>
      <c r="P138" s="154"/>
      <c r="Q138" s="117"/>
      <c r="R138" s="140"/>
      <c r="S138" s="117"/>
      <c r="T138" s="147">
        <v>0.09</v>
      </c>
      <c r="U138" s="117"/>
      <c r="V138" s="117"/>
      <c r="W138" s="117"/>
      <c r="X138" s="117"/>
      <c r="Y138" s="117"/>
      <c r="Z138" s="117"/>
      <c r="AA138" s="117"/>
    </row>
    <row r="139" spans="1:27" x14ac:dyDescent="0.3">
      <c r="A139" s="87"/>
      <c r="B139" s="87"/>
      <c r="C139" s="87"/>
      <c r="D139" s="152"/>
      <c r="E139" s="151"/>
      <c r="F139" s="87"/>
      <c r="G139" s="88"/>
      <c r="I139" s="117"/>
      <c r="J139" s="117"/>
      <c r="K139" s="117"/>
      <c r="L139" s="117"/>
      <c r="M139" s="117"/>
      <c r="N139" s="117"/>
      <c r="O139" s="117"/>
      <c r="P139" s="117"/>
      <c r="Q139" s="117"/>
      <c r="R139" s="117" t="s">
        <v>699</v>
      </c>
      <c r="S139" s="117"/>
      <c r="T139" s="147">
        <v>0.1</v>
      </c>
      <c r="U139" s="117"/>
      <c r="V139" s="117"/>
      <c r="W139" s="117"/>
      <c r="X139" s="117"/>
      <c r="Y139" s="117"/>
      <c r="Z139" s="117"/>
      <c r="AA139" s="117"/>
    </row>
    <row r="140" spans="1:27" x14ac:dyDescent="0.3">
      <c r="A140" s="87"/>
      <c r="B140" s="87"/>
      <c r="C140" s="87"/>
      <c r="D140" s="152"/>
      <c r="E140" s="151"/>
      <c r="F140" s="87"/>
      <c r="G140" s="88"/>
      <c r="I140" s="117"/>
      <c r="J140" s="117"/>
      <c r="K140" s="117"/>
      <c r="L140" s="117"/>
      <c r="M140" s="117"/>
      <c r="N140" s="127"/>
      <c r="O140" s="117"/>
      <c r="P140" s="117"/>
      <c r="Q140" s="117"/>
      <c r="R140" s="122">
        <v>1</v>
      </c>
      <c r="S140" s="117"/>
      <c r="T140" s="147">
        <v>0.11</v>
      </c>
      <c r="U140" s="117"/>
      <c r="V140" s="117"/>
      <c r="W140" s="117"/>
      <c r="X140" s="117"/>
      <c r="Y140" s="117"/>
      <c r="Z140" s="117"/>
      <c r="AA140" s="117"/>
    </row>
    <row r="141" spans="1:27" x14ac:dyDescent="0.3">
      <c r="A141" s="87"/>
      <c r="B141" s="87"/>
      <c r="C141" s="87"/>
      <c r="D141" s="155"/>
      <c r="E141" s="151"/>
      <c r="F141" s="87"/>
      <c r="G141" s="88"/>
      <c r="I141" s="117"/>
      <c r="J141" s="117"/>
      <c r="K141" s="117"/>
      <c r="L141" s="117"/>
      <c r="M141" s="117"/>
      <c r="N141" s="117"/>
      <c r="O141" s="117"/>
      <c r="P141" s="158"/>
      <c r="Q141" s="117"/>
      <c r="R141" s="122">
        <v>2</v>
      </c>
      <c r="S141" s="117"/>
      <c r="T141" s="147">
        <v>0.12</v>
      </c>
      <c r="U141" s="117"/>
      <c r="V141" s="117"/>
      <c r="W141" s="117"/>
      <c r="X141" s="117"/>
      <c r="Y141" s="117"/>
      <c r="Z141" s="117"/>
      <c r="AA141" s="117"/>
    </row>
    <row r="142" spans="1:27" x14ac:dyDescent="0.3">
      <c r="A142" s="87"/>
      <c r="B142" s="87"/>
      <c r="C142" s="87"/>
      <c r="D142" s="155"/>
      <c r="E142" s="155"/>
      <c r="F142" s="87"/>
      <c r="G142" s="88"/>
      <c r="I142" s="117"/>
      <c r="J142" s="117"/>
      <c r="K142" s="117"/>
      <c r="L142" s="117"/>
      <c r="M142" s="117"/>
      <c r="N142" s="117"/>
      <c r="O142" s="158"/>
      <c r="P142" s="158"/>
      <c r="Q142" s="117"/>
      <c r="R142" s="122">
        <v>3</v>
      </c>
      <c r="S142" s="117"/>
      <c r="T142" s="147">
        <v>0.13</v>
      </c>
      <c r="U142" s="117"/>
      <c r="V142" s="117"/>
      <c r="W142" s="117"/>
      <c r="X142" s="117"/>
      <c r="Y142" s="117"/>
      <c r="Z142" s="117"/>
      <c r="AA142" s="117"/>
    </row>
    <row r="143" spans="1:27" x14ac:dyDescent="0.3">
      <c r="A143" s="87"/>
      <c r="B143" s="87"/>
      <c r="C143" s="87"/>
      <c r="D143" s="156"/>
      <c r="E143" s="156"/>
      <c r="F143" s="156"/>
      <c r="G143" s="156"/>
      <c r="I143" s="117"/>
      <c r="J143" s="117"/>
      <c r="K143" s="117"/>
      <c r="L143" s="117"/>
      <c r="M143" s="117"/>
      <c r="N143" s="117"/>
      <c r="O143" s="158"/>
      <c r="P143" s="158"/>
      <c r="Q143" s="117"/>
      <c r="R143" s="122">
        <v>4</v>
      </c>
      <c r="S143" s="117"/>
      <c r="T143" s="147">
        <v>0.14000000000000001</v>
      </c>
      <c r="U143" s="117"/>
      <c r="V143" s="117"/>
      <c r="W143" s="117"/>
      <c r="X143" s="117"/>
      <c r="Y143" s="117"/>
      <c r="Z143" s="117"/>
      <c r="AA143" s="117"/>
    </row>
    <row r="144" spans="1:27" x14ac:dyDescent="0.3">
      <c r="A144" s="87"/>
      <c r="B144" s="87"/>
      <c r="C144" s="87"/>
      <c r="D144" s="157"/>
      <c r="E144" s="157"/>
      <c r="F144" s="157"/>
      <c r="G144" s="157"/>
      <c r="I144" s="117"/>
      <c r="J144" s="117"/>
      <c r="K144" s="117"/>
      <c r="L144" s="117"/>
      <c r="M144" s="117"/>
      <c r="N144" s="117"/>
      <c r="O144" s="158"/>
      <c r="P144" s="158"/>
      <c r="Q144" s="117"/>
      <c r="R144" s="122">
        <v>5</v>
      </c>
      <c r="S144" s="117"/>
      <c r="T144" s="147">
        <v>0.15</v>
      </c>
      <c r="U144" s="117"/>
      <c r="V144" s="117"/>
      <c r="W144" s="117"/>
      <c r="X144" s="117"/>
      <c r="Y144" s="117"/>
      <c r="Z144" s="117"/>
      <c r="AA144" s="117"/>
    </row>
    <row r="145" spans="1:27" x14ac:dyDescent="0.3">
      <c r="A145" s="87"/>
      <c r="B145" s="87"/>
      <c r="C145" s="156"/>
      <c r="D145" s="156"/>
      <c r="E145" s="156"/>
      <c r="F145" s="156"/>
      <c r="G145" s="156"/>
      <c r="I145" s="117"/>
      <c r="J145" s="117"/>
      <c r="K145" s="117"/>
      <c r="L145" s="117"/>
      <c r="M145" s="117"/>
      <c r="N145" s="117"/>
      <c r="O145" s="159"/>
      <c r="P145" s="159"/>
      <c r="Q145" s="117"/>
      <c r="R145" s="117"/>
      <c r="S145" s="117"/>
      <c r="T145" s="147">
        <v>0.16</v>
      </c>
      <c r="U145" s="117"/>
      <c r="V145" s="117"/>
      <c r="W145" s="117"/>
      <c r="X145" s="117"/>
      <c r="Y145" s="117"/>
      <c r="Z145" s="117"/>
      <c r="AA145" s="117"/>
    </row>
    <row r="146" spans="1:27" x14ac:dyDescent="0.3">
      <c r="A146" s="87"/>
      <c r="B146" s="87"/>
      <c r="C146" s="156"/>
      <c r="D146" s="156"/>
      <c r="E146" s="156"/>
      <c r="F146" s="156"/>
      <c r="G146" s="156"/>
      <c r="I146" s="117"/>
      <c r="J146" s="117"/>
      <c r="K146" s="117"/>
      <c r="L146" s="117"/>
      <c r="M146" s="117"/>
      <c r="N146" s="117"/>
      <c r="O146" s="159"/>
      <c r="P146" s="159"/>
      <c r="Q146" s="117"/>
      <c r="R146" s="117"/>
      <c r="S146" s="117"/>
      <c r="T146" s="147">
        <v>0.17</v>
      </c>
      <c r="U146" s="117"/>
      <c r="V146" s="117"/>
      <c r="W146" s="117"/>
      <c r="X146" s="117"/>
      <c r="Y146" s="117"/>
      <c r="Z146" s="117"/>
      <c r="AA146" s="117"/>
    </row>
    <row r="147" spans="1:27" x14ac:dyDescent="0.3">
      <c r="A147" s="87"/>
      <c r="B147" s="87"/>
      <c r="C147" s="157"/>
      <c r="D147" s="157"/>
      <c r="E147" s="157"/>
      <c r="F147" s="157"/>
      <c r="G147" s="157"/>
      <c r="I147" s="117"/>
      <c r="J147" s="117"/>
      <c r="K147" s="117"/>
      <c r="L147" s="117"/>
      <c r="M147" s="117"/>
      <c r="N147" s="117"/>
      <c r="O147" s="159"/>
      <c r="P147" s="159"/>
      <c r="Q147" s="117"/>
      <c r="R147" s="117"/>
      <c r="S147" s="117"/>
      <c r="T147" s="147">
        <v>0.18</v>
      </c>
      <c r="U147" s="117"/>
      <c r="V147" s="117"/>
      <c r="W147" s="117"/>
      <c r="X147" s="117"/>
      <c r="Y147" s="117"/>
      <c r="Z147" s="117"/>
      <c r="AA147" s="117"/>
    </row>
    <row r="148" spans="1:27" x14ac:dyDescent="0.3">
      <c r="A148" s="87"/>
      <c r="B148" s="87"/>
      <c r="C148" s="87"/>
      <c r="D148" s="87"/>
      <c r="E148" s="87"/>
      <c r="F148" s="87"/>
      <c r="G148" s="88"/>
      <c r="I148" s="117"/>
      <c r="J148" s="117"/>
      <c r="K148" s="117"/>
      <c r="L148" s="117"/>
      <c r="M148" s="117"/>
      <c r="N148" s="117" t="s">
        <v>822</v>
      </c>
      <c r="O148" s="159"/>
      <c r="P148" s="159"/>
      <c r="Q148" s="117"/>
      <c r="R148" s="117"/>
      <c r="S148" s="117"/>
      <c r="T148" s="147">
        <v>0.19</v>
      </c>
      <c r="U148" s="117"/>
      <c r="V148" s="117"/>
      <c r="W148" s="117"/>
      <c r="X148" s="117"/>
      <c r="Y148" s="117"/>
      <c r="Z148" s="117"/>
      <c r="AA148" s="117"/>
    </row>
    <row r="149" spans="1:27" x14ac:dyDescent="0.3">
      <c r="A149" s="87"/>
      <c r="B149" s="87"/>
      <c r="C149" s="87"/>
      <c r="D149" s="87"/>
      <c r="E149" s="87"/>
      <c r="F149" s="87"/>
      <c r="G149" s="88"/>
      <c r="I149" s="117"/>
      <c r="J149" s="117"/>
      <c r="K149" s="117"/>
      <c r="L149" s="117"/>
      <c r="M149" s="117"/>
      <c r="N149" s="117" t="s">
        <v>823</v>
      </c>
      <c r="O149" s="159"/>
      <c r="P149" s="159"/>
      <c r="Q149" s="117"/>
      <c r="R149" s="117"/>
      <c r="S149" s="117"/>
      <c r="T149" s="147">
        <v>0.2</v>
      </c>
      <c r="U149" s="117"/>
      <c r="V149" s="117"/>
      <c r="W149" s="117"/>
      <c r="X149" s="117"/>
      <c r="Y149" s="117"/>
      <c r="Z149" s="117"/>
      <c r="AA149" s="117"/>
    </row>
    <row r="150" spans="1:27" x14ac:dyDescent="0.3">
      <c r="A150" s="87"/>
      <c r="B150" s="87"/>
      <c r="C150" s="87"/>
      <c r="D150" s="87"/>
      <c r="E150" s="87"/>
      <c r="F150" s="87"/>
      <c r="G150" s="88"/>
      <c r="I150" s="117"/>
      <c r="J150" s="117"/>
      <c r="K150" s="117"/>
      <c r="L150" s="117"/>
      <c r="M150" s="117"/>
      <c r="N150" s="117" t="s">
        <v>845</v>
      </c>
      <c r="O150" s="159"/>
      <c r="P150" s="159"/>
      <c r="Q150" s="117"/>
      <c r="R150" s="117"/>
      <c r="S150" s="117"/>
      <c r="T150" s="147">
        <v>0.21</v>
      </c>
      <c r="U150" s="117"/>
      <c r="V150" s="117"/>
      <c r="W150" s="117"/>
      <c r="X150" s="117"/>
      <c r="Y150" s="117"/>
      <c r="Z150" s="117"/>
      <c r="AA150" s="117"/>
    </row>
    <row r="151" spans="1:27" x14ac:dyDescent="0.3">
      <c r="A151" s="87"/>
      <c r="B151" s="87"/>
      <c r="C151" s="87"/>
      <c r="D151" s="157"/>
      <c r="E151" s="157"/>
      <c r="F151" s="157"/>
      <c r="G151" s="157"/>
      <c r="H151" s="127"/>
      <c r="I151" s="117"/>
      <c r="J151" s="117"/>
      <c r="K151" s="117"/>
      <c r="L151" s="117"/>
      <c r="M151" s="117"/>
      <c r="N151" s="117" t="s">
        <v>824</v>
      </c>
      <c r="O151" s="159"/>
      <c r="P151" s="159"/>
      <c r="Q151" s="117"/>
      <c r="R151" s="117"/>
      <c r="S151" s="117"/>
      <c r="T151" s="147">
        <v>0.22</v>
      </c>
      <c r="U151" s="117"/>
      <c r="V151" s="117"/>
      <c r="W151" s="117"/>
      <c r="X151" s="117"/>
      <c r="Y151" s="117"/>
      <c r="Z151" s="117"/>
      <c r="AA151" s="117"/>
    </row>
    <row r="152" spans="1:27" x14ac:dyDescent="0.3">
      <c r="A152" s="87"/>
      <c r="B152" s="87"/>
      <c r="C152" s="87"/>
      <c r="D152" s="87"/>
      <c r="E152" s="87"/>
      <c r="F152" s="87"/>
      <c r="G152" s="88"/>
      <c r="I152" s="117"/>
      <c r="J152" s="117"/>
      <c r="K152" s="117"/>
      <c r="L152" s="117"/>
      <c r="M152" s="117"/>
      <c r="N152" s="117" t="s">
        <v>825</v>
      </c>
      <c r="O152" s="158"/>
      <c r="P152" s="158"/>
      <c r="Q152" s="117"/>
      <c r="R152" s="117"/>
      <c r="S152" s="117"/>
      <c r="T152" s="147">
        <v>0.23</v>
      </c>
      <c r="U152" s="117"/>
      <c r="V152" s="117"/>
      <c r="W152" s="117"/>
      <c r="X152" s="117"/>
      <c r="Y152" s="117"/>
      <c r="Z152" s="117"/>
      <c r="AA152" s="117"/>
    </row>
    <row r="153" spans="1:27" x14ac:dyDescent="0.3">
      <c r="A153" s="87"/>
      <c r="B153" s="87"/>
      <c r="C153" s="87"/>
      <c r="D153" s="87"/>
      <c r="E153" s="87"/>
      <c r="F153" s="87"/>
      <c r="G153" s="88"/>
      <c r="I153" s="117"/>
      <c r="J153" s="117"/>
      <c r="K153" s="117"/>
      <c r="L153" s="117"/>
      <c r="M153" s="117"/>
      <c r="N153" s="117"/>
      <c r="O153" s="158"/>
      <c r="P153" s="158"/>
      <c r="Q153" s="117"/>
      <c r="R153" s="117"/>
      <c r="S153" s="117"/>
      <c r="T153" s="147">
        <v>0.24</v>
      </c>
      <c r="U153" s="117"/>
      <c r="V153" s="117"/>
      <c r="W153" s="117"/>
      <c r="X153" s="117"/>
      <c r="Y153" s="117"/>
      <c r="Z153" s="117"/>
      <c r="AA153" s="117"/>
    </row>
    <row r="154" spans="1:27" x14ac:dyDescent="0.3">
      <c r="A154" s="87"/>
      <c r="B154" s="87"/>
      <c r="C154" s="87"/>
      <c r="D154" s="87"/>
      <c r="E154" s="87"/>
      <c r="F154" s="87"/>
      <c r="G154" s="88"/>
      <c r="I154" s="117"/>
      <c r="J154" s="117"/>
      <c r="K154" s="117"/>
      <c r="L154" s="117"/>
      <c r="M154" s="117"/>
      <c r="N154" s="117"/>
      <c r="O154" s="158"/>
      <c r="P154" s="158"/>
      <c r="Q154" s="117"/>
      <c r="R154" s="117"/>
      <c r="S154" s="117"/>
      <c r="T154" s="147">
        <v>0.25</v>
      </c>
      <c r="U154" s="117"/>
      <c r="V154" s="117"/>
      <c r="W154" s="117"/>
      <c r="X154" s="117"/>
      <c r="Y154" s="117"/>
      <c r="Z154" s="117"/>
      <c r="AA154" s="117"/>
    </row>
    <row r="155" spans="1:27" x14ac:dyDescent="0.3">
      <c r="A155" s="87"/>
      <c r="B155" s="87"/>
      <c r="C155" s="87"/>
      <c r="D155" s="87"/>
      <c r="E155" s="87"/>
      <c r="F155" s="87"/>
      <c r="G155" s="88"/>
      <c r="I155" s="117"/>
      <c r="J155" s="117"/>
      <c r="K155" s="117"/>
      <c r="L155" s="117"/>
      <c r="M155" s="117"/>
      <c r="N155" s="117"/>
      <c r="O155" s="159"/>
      <c r="P155" s="159"/>
      <c r="Q155" s="117"/>
      <c r="R155" s="117"/>
      <c r="S155" s="117"/>
      <c r="T155" s="147">
        <v>0.26</v>
      </c>
      <c r="U155" s="117"/>
      <c r="V155" s="117"/>
      <c r="W155" s="117"/>
      <c r="X155" s="117"/>
      <c r="Y155" s="117"/>
      <c r="Z155" s="117"/>
      <c r="AA155" s="117"/>
    </row>
    <row r="156" spans="1:27" x14ac:dyDescent="0.3">
      <c r="A156" s="87"/>
      <c r="B156" s="87"/>
      <c r="C156" s="87"/>
      <c r="D156" s="87"/>
      <c r="E156" s="87"/>
      <c r="F156" s="87"/>
      <c r="G156" s="88"/>
      <c r="I156" s="117"/>
      <c r="J156" s="117"/>
      <c r="K156" s="117"/>
      <c r="L156" s="117"/>
      <c r="M156" s="117"/>
      <c r="N156" s="117"/>
      <c r="O156" s="158"/>
      <c r="P156" s="158"/>
      <c r="Q156" s="117"/>
      <c r="R156" s="117"/>
      <c r="S156" s="117"/>
      <c r="T156" s="147">
        <v>0.27</v>
      </c>
      <c r="U156" s="117"/>
      <c r="V156" s="117"/>
      <c r="W156" s="117"/>
      <c r="X156" s="117"/>
      <c r="Y156" s="117"/>
      <c r="Z156" s="117"/>
      <c r="AA156" s="117"/>
    </row>
    <row r="157" spans="1:27" x14ac:dyDescent="0.3">
      <c r="A157" s="87"/>
      <c r="B157" s="87"/>
      <c r="C157" s="87"/>
      <c r="D157" s="87"/>
      <c r="E157" s="87"/>
      <c r="F157" s="87"/>
      <c r="G157" s="88"/>
      <c r="I157" s="117"/>
      <c r="J157" s="117"/>
      <c r="K157" s="117"/>
      <c r="L157" s="117"/>
      <c r="M157" s="117"/>
      <c r="N157" s="117"/>
      <c r="O157" s="159"/>
      <c r="P157" s="159"/>
      <c r="Q157" s="117"/>
      <c r="R157" s="117"/>
      <c r="S157" s="117"/>
      <c r="T157" s="147">
        <v>0.28000000000000003</v>
      </c>
      <c r="U157" s="117"/>
      <c r="V157" s="117"/>
      <c r="W157" s="117"/>
      <c r="X157" s="117"/>
      <c r="Y157" s="117"/>
      <c r="Z157" s="117"/>
      <c r="AA157" s="117"/>
    </row>
    <row r="158" spans="1:27" x14ac:dyDescent="0.3">
      <c r="A158" s="87"/>
      <c r="B158" s="87"/>
      <c r="C158" s="87"/>
      <c r="D158" s="87"/>
      <c r="E158" s="87"/>
      <c r="F158" s="87"/>
      <c r="G158" s="88"/>
      <c r="I158" s="117"/>
      <c r="J158" s="117"/>
      <c r="K158" s="117"/>
      <c r="L158" s="117"/>
      <c r="M158" s="117"/>
      <c r="N158" s="117"/>
      <c r="O158" s="159"/>
      <c r="P158" s="159"/>
      <c r="Q158" s="117"/>
      <c r="R158" s="117"/>
      <c r="S158" s="117"/>
      <c r="T158" s="147">
        <v>0.28999999999999998</v>
      </c>
      <c r="U158" s="117"/>
      <c r="V158" s="117"/>
      <c r="W158" s="117"/>
      <c r="X158" s="117"/>
      <c r="Y158" s="117"/>
      <c r="Z158" s="117"/>
      <c r="AA158" s="117"/>
    </row>
    <row r="159" spans="1:27" x14ac:dyDescent="0.3">
      <c r="A159" s="87"/>
      <c r="B159" s="87"/>
      <c r="C159" s="87"/>
      <c r="D159" s="87"/>
      <c r="E159" s="87"/>
      <c r="F159" s="87"/>
      <c r="G159" s="88"/>
      <c r="I159" s="117"/>
      <c r="J159" s="117"/>
      <c r="K159" s="117"/>
      <c r="L159" s="117"/>
      <c r="M159" s="117"/>
      <c r="N159" s="117"/>
      <c r="O159" s="158"/>
      <c r="P159" s="158"/>
      <c r="Q159" s="117"/>
      <c r="R159" s="117"/>
      <c r="S159" s="117"/>
      <c r="T159" s="147">
        <v>0.3</v>
      </c>
      <c r="U159" s="117"/>
      <c r="V159" s="117"/>
      <c r="W159" s="117"/>
      <c r="X159" s="117"/>
      <c r="Y159" s="117"/>
      <c r="Z159" s="117"/>
      <c r="AA159" s="117"/>
    </row>
    <row r="160" spans="1:27" x14ac:dyDescent="0.3">
      <c r="A160" s="87"/>
      <c r="B160" s="87"/>
      <c r="C160" s="87"/>
      <c r="D160" s="87"/>
      <c r="E160" s="87"/>
      <c r="F160" s="87"/>
      <c r="G160" s="88"/>
      <c r="I160" s="117"/>
      <c r="J160" s="117"/>
      <c r="K160" s="117"/>
      <c r="L160" s="117"/>
      <c r="M160" s="117"/>
      <c r="N160" s="117"/>
      <c r="O160" s="159"/>
      <c r="P160" s="159"/>
      <c r="Q160" s="117"/>
      <c r="R160" s="117"/>
      <c r="S160" s="117"/>
      <c r="T160" s="147">
        <v>0.31</v>
      </c>
      <c r="U160" s="117"/>
      <c r="V160" s="117"/>
      <c r="W160" s="117"/>
      <c r="X160" s="117"/>
      <c r="Y160" s="117"/>
      <c r="Z160" s="117"/>
      <c r="AA160" s="117"/>
    </row>
    <row r="161" spans="1:27" x14ac:dyDescent="0.3">
      <c r="A161" s="87"/>
      <c r="B161" s="87"/>
      <c r="C161" s="87"/>
      <c r="D161" s="87"/>
      <c r="E161" s="87"/>
      <c r="F161" s="87"/>
      <c r="G161" s="88"/>
      <c r="I161" s="117"/>
      <c r="J161" s="117"/>
      <c r="K161" s="117"/>
      <c r="L161" s="117"/>
      <c r="M161" s="117"/>
      <c r="N161" s="117"/>
      <c r="O161" s="159"/>
      <c r="P161" s="159"/>
      <c r="Q161" s="117"/>
      <c r="R161" s="117"/>
      <c r="S161" s="117"/>
      <c r="T161" s="147">
        <v>0.32</v>
      </c>
      <c r="U161" s="117"/>
      <c r="V161" s="117"/>
      <c r="W161" s="117"/>
      <c r="X161" s="117"/>
      <c r="Y161" s="117"/>
      <c r="Z161" s="117"/>
      <c r="AA161" s="117"/>
    </row>
    <row r="162" spans="1:27" x14ac:dyDescent="0.3">
      <c r="A162" s="87"/>
      <c r="B162" s="87"/>
      <c r="C162" s="87"/>
      <c r="D162" s="87"/>
      <c r="E162" s="87"/>
      <c r="F162" s="87"/>
      <c r="G162" s="88"/>
      <c r="I162" s="117"/>
      <c r="J162" s="117"/>
      <c r="K162" s="117"/>
      <c r="L162" s="117"/>
      <c r="M162" s="117"/>
      <c r="N162" s="119"/>
      <c r="O162" s="159"/>
      <c r="P162" s="159"/>
      <c r="Q162" s="117"/>
      <c r="R162" s="117"/>
      <c r="S162" s="117"/>
      <c r="T162" s="147">
        <v>0.33</v>
      </c>
      <c r="U162" s="117"/>
      <c r="V162" s="117"/>
      <c r="W162" s="117"/>
      <c r="X162" s="117"/>
      <c r="Y162" s="117"/>
      <c r="Z162" s="117"/>
      <c r="AA162" s="117"/>
    </row>
    <row r="163" spans="1:27" x14ac:dyDescent="0.3">
      <c r="A163" s="87"/>
      <c r="B163" s="87"/>
      <c r="C163" s="87"/>
      <c r="D163" s="87"/>
      <c r="E163" s="87"/>
      <c r="F163" s="87"/>
      <c r="G163" s="88"/>
      <c r="I163" s="117"/>
      <c r="J163" s="117"/>
      <c r="K163" s="117"/>
      <c r="L163" s="117"/>
      <c r="M163" s="117"/>
      <c r="N163" s="117"/>
      <c r="O163" s="159"/>
      <c r="P163" s="159"/>
      <c r="Q163" s="117"/>
      <c r="R163" s="117"/>
      <c r="S163" s="117"/>
      <c r="T163" s="147">
        <v>0.34</v>
      </c>
      <c r="U163" s="117"/>
      <c r="V163" s="117"/>
      <c r="W163" s="117"/>
      <c r="X163" s="117"/>
      <c r="Y163" s="117"/>
      <c r="Z163" s="117"/>
      <c r="AA163" s="117"/>
    </row>
    <row r="164" spans="1:27" x14ac:dyDescent="0.3">
      <c r="A164" s="87"/>
      <c r="B164" s="87"/>
      <c r="C164" s="87"/>
      <c r="D164" s="87"/>
      <c r="E164" s="87"/>
      <c r="F164" s="87"/>
      <c r="G164" s="88"/>
      <c r="I164" s="117"/>
      <c r="J164" s="117"/>
      <c r="K164" s="117"/>
      <c r="L164" s="117"/>
      <c r="M164" s="117"/>
      <c r="N164" s="117"/>
      <c r="O164" s="158"/>
      <c r="P164" s="158"/>
      <c r="Q164" s="117"/>
      <c r="R164" s="117"/>
      <c r="S164" s="117"/>
      <c r="T164" s="147">
        <v>0.35</v>
      </c>
      <c r="U164" s="117"/>
      <c r="V164" s="117"/>
      <c r="W164" s="117"/>
      <c r="X164" s="117"/>
      <c r="Y164" s="117"/>
      <c r="Z164" s="117"/>
      <c r="AA164" s="117"/>
    </row>
    <row r="165" spans="1:27" x14ac:dyDescent="0.3">
      <c r="A165" s="87"/>
      <c r="B165" s="87"/>
      <c r="C165" s="87"/>
      <c r="D165" s="87"/>
      <c r="E165" s="87"/>
      <c r="F165" s="87"/>
      <c r="G165" s="88"/>
      <c r="I165" s="117"/>
      <c r="J165" s="117"/>
      <c r="K165" s="117"/>
      <c r="L165" s="117"/>
      <c r="M165" s="117"/>
      <c r="N165" s="117"/>
      <c r="O165" s="159"/>
      <c r="P165" s="159"/>
      <c r="Q165" s="117"/>
      <c r="R165" s="117"/>
      <c r="S165" s="117"/>
      <c r="T165" s="147">
        <v>0.36</v>
      </c>
      <c r="U165" s="117"/>
      <c r="V165" s="117"/>
      <c r="W165" s="117"/>
      <c r="X165" s="117"/>
      <c r="Y165" s="117"/>
      <c r="Z165" s="117"/>
      <c r="AA165" s="117"/>
    </row>
    <row r="166" spans="1:27" x14ac:dyDescent="0.3">
      <c r="A166" s="87"/>
      <c r="B166" s="87"/>
      <c r="C166" s="87"/>
      <c r="D166" s="87"/>
      <c r="E166" s="87"/>
      <c r="F166" s="87"/>
      <c r="G166" s="88"/>
      <c r="I166" s="117"/>
      <c r="J166" s="117"/>
      <c r="K166" s="117"/>
      <c r="L166" s="117"/>
      <c r="M166" s="117"/>
      <c r="N166" s="117"/>
      <c r="O166" s="159"/>
      <c r="P166" s="159"/>
      <c r="Q166" s="117"/>
      <c r="R166" s="117"/>
      <c r="S166" s="117"/>
      <c r="T166" s="147">
        <v>0.37</v>
      </c>
      <c r="U166" s="117"/>
      <c r="V166" s="117"/>
      <c r="W166" s="117"/>
      <c r="X166" s="117"/>
      <c r="Y166" s="117"/>
      <c r="Z166" s="117"/>
      <c r="AA166" s="117"/>
    </row>
    <row r="167" spans="1:27" x14ac:dyDescent="0.3">
      <c r="A167" s="87"/>
      <c r="B167" s="87"/>
      <c r="C167" s="87"/>
      <c r="D167" s="87"/>
      <c r="E167" s="87"/>
      <c r="F167" s="87"/>
      <c r="G167" s="88"/>
      <c r="I167" s="117"/>
      <c r="J167" s="117"/>
      <c r="K167" s="117"/>
      <c r="L167" s="117"/>
      <c r="M167" s="117"/>
      <c r="N167" s="117"/>
      <c r="O167" s="159"/>
      <c r="P167" s="159"/>
      <c r="Q167" s="117"/>
      <c r="R167" s="117"/>
      <c r="S167" s="117"/>
      <c r="T167" s="147">
        <v>0.38</v>
      </c>
      <c r="U167" s="117"/>
      <c r="V167" s="117"/>
      <c r="W167" s="117"/>
      <c r="X167" s="117"/>
      <c r="Y167" s="117"/>
      <c r="Z167" s="117"/>
      <c r="AA167" s="117"/>
    </row>
    <row r="168" spans="1:27" x14ac:dyDescent="0.3">
      <c r="A168" s="87"/>
      <c r="B168" s="87"/>
      <c r="C168" s="87"/>
      <c r="D168" s="87"/>
      <c r="E168" s="87"/>
      <c r="F168" s="87"/>
      <c r="G168" s="88"/>
      <c r="I168" s="117"/>
      <c r="J168" s="117"/>
      <c r="K168" s="117"/>
      <c r="L168" s="117"/>
      <c r="M168" s="117"/>
      <c r="N168" s="117"/>
      <c r="O168" s="159"/>
      <c r="P168" s="159"/>
      <c r="Q168" s="117"/>
      <c r="R168" s="117"/>
      <c r="S168" s="117"/>
      <c r="T168" s="147">
        <v>0.39</v>
      </c>
      <c r="U168" s="117"/>
      <c r="V168" s="117"/>
      <c r="W168" s="117"/>
      <c r="X168" s="117"/>
      <c r="Y168" s="117"/>
      <c r="Z168" s="117"/>
      <c r="AA168" s="117"/>
    </row>
    <row r="169" spans="1:27" x14ac:dyDescent="0.3">
      <c r="A169" s="87"/>
      <c r="B169" s="87"/>
      <c r="C169" s="87"/>
      <c r="D169" s="87"/>
      <c r="E169" s="87"/>
      <c r="F169" s="87"/>
      <c r="G169" s="88"/>
      <c r="I169" s="117"/>
      <c r="J169" s="117"/>
      <c r="K169" s="117"/>
      <c r="L169" s="117"/>
      <c r="M169" s="117"/>
      <c r="N169" s="117"/>
      <c r="O169" s="159"/>
      <c r="P169" s="159"/>
      <c r="Q169" s="117"/>
      <c r="R169" s="117"/>
      <c r="S169" s="117"/>
      <c r="T169" s="147">
        <v>0.4</v>
      </c>
      <c r="U169" s="117"/>
      <c r="V169" s="117"/>
      <c r="W169" s="117"/>
      <c r="X169" s="117"/>
      <c r="Y169" s="117"/>
      <c r="Z169" s="117"/>
      <c r="AA169" s="117"/>
    </row>
    <row r="170" spans="1:27" x14ac:dyDescent="0.3">
      <c r="A170" s="87"/>
      <c r="B170" s="87"/>
      <c r="C170" s="87"/>
      <c r="D170" s="87"/>
      <c r="E170" s="87"/>
      <c r="F170" s="87"/>
      <c r="G170" s="88"/>
      <c r="I170" s="117"/>
      <c r="J170" s="117"/>
      <c r="K170" s="117"/>
      <c r="L170" s="117"/>
      <c r="M170" s="117"/>
      <c r="N170" s="117"/>
      <c r="O170" s="159"/>
      <c r="P170" s="159"/>
      <c r="Q170" s="117"/>
      <c r="R170" s="117"/>
      <c r="S170" s="117"/>
      <c r="T170" s="147">
        <v>0.41</v>
      </c>
      <c r="U170" s="117"/>
      <c r="V170" s="117"/>
      <c r="W170" s="117"/>
      <c r="X170" s="117"/>
      <c r="Y170" s="117"/>
      <c r="Z170" s="117"/>
      <c r="AA170" s="117"/>
    </row>
    <row r="171" spans="1:27" x14ac:dyDescent="0.3">
      <c r="A171" s="87"/>
      <c r="B171" s="87"/>
      <c r="C171" s="87"/>
      <c r="D171" s="87"/>
      <c r="E171" s="87"/>
      <c r="F171" s="87"/>
      <c r="G171" s="88"/>
      <c r="I171" s="117"/>
      <c r="J171" s="117"/>
      <c r="K171" s="117"/>
      <c r="L171" s="117"/>
      <c r="M171" s="117"/>
      <c r="N171" s="117"/>
      <c r="O171" s="159"/>
      <c r="P171" s="159"/>
      <c r="Q171" s="117"/>
      <c r="R171" s="117"/>
      <c r="S171" s="117"/>
      <c r="T171" s="147">
        <v>0.42</v>
      </c>
      <c r="U171" s="117"/>
      <c r="V171" s="117"/>
      <c r="W171" s="117"/>
      <c r="X171" s="117"/>
      <c r="Y171" s="117"/>
      <c r="Z171" s="117"/>
      <c r="AA171" s="117"/>
    </row>
    <row r="172" spans="1:27" x14ac:dyDescent="0.3">
      <c r="A172" s="87"/>
      <c r="B172" s="87"/>
      <c r="C172" s="87"/>
      <c r="D172" s="87"/>
      <c r="E172" s="87"/>
      <c r="F172" s="87"/>
      <c r="G172" s="88"/>
      <c r="I172" s="117"/>
      <c r="J172" s="117"/>
      <c r="K172" s="117"/>
      <c r="L172" s="117"/>
      <c r="M172" s="117"/>
      <c r="N172" s="117"/>
      <c r="O172" s="159"/>
      <c r="P172" s="159"/>
      <c r="Q172" s="117"/>
      <c r="R172" s="117"/>
      <c r="S172" s="117"/>
      <c r="T172" s="147">
        <v>0.43</v>
      </c>
      <c r="U172" s="117"/>
      <c r="V172" s="117"/>
      <c r="W172" s="117"/>
      <c r="X172" s="117"/>
      <c r="Y172" s="117"/>
      <c r="Z172" s="117"/>
      <c r="AA172" s="117"/>
    </row>
    <row r="173" spans="1:27" x14ac:dyDescent="0.3">
      <c r="A173" s="87"/>
      <c r="B173" s="87"/>
      <c r="C173" s="87"/>
      <c r="D173" s="87"/>
      <c r="E173" s="87"/>
      <c r="F173" s="87"/>
      <c r="G173" s="88"/>
      <c r="I173" s="117"/>
      <c r="J173" s="117"/>
      <c r="K173" s="117"/>
      <c r="L173" s="117"/>
      <c r="M173" s="117"/>
      <c r="N173" s="117"/>
      <c r="O173" s="159"/>
      <c r="P173" s="159"/>
      <c r="Q173" s="117"/>
      <c r="R173" s="117"/>
      <c r="S173" s="117"/>
      <c r="T173" s="147">
        <v>0.44</v>
      </c>
      <c r="U173" s="117"/>
      <c r="V173" s="117"/>
      <c r="W173" s="117"/>
      <c r="X173" s="117"/>
      <c r="Y173" s="117"/>
      <c r="Z173" s="117"/>
      <c r="AA173" s="117"/>
    </row>
    <row r="174" spans="1:27" x14ac:dyDescent="0.3">
      <c r="A174" s="87"/>
      <c r="B174" s="87"/>
      <c r="C174" s="87"/>
      <c r="D174" s="87"/>
      <c r="E174" s="87"/>
      <c r="F174" s="87"/>
      <c r="G174" s="88"/>
      <c r="I174" s="117"/>
      <c r="J174" s="117"/>
      <c r="K174" s="117"/>
      <c r="L174" s="117"/>
      <c r="M174" s="117"/>
      <c r="N174" s="117"/>
      <c r="O174" s="159"/>
      <c r="P174" s="159"/>
      <c r="Q174" s="117"/>
      <c r="R174" s="117"/>
      <c r="S174" s="117"/>
      <c r="T174" s="147">
        <v>0.45</v>
      </c>
      <c r="U174" s="117"/>
      <c r="V174" s="117"/>
      <c r="W174" s="117"/>
      <c r="X174" s="117"/>
      <c r="Y174" s="117"/>
      <c r="Z174" s="117"/>
      <c r="AA174" s="117"/>
    </row>
    <row r="175" spans="1:27" x14ac:dyDescent="0.3">
      <c r="A175" s="87"/>
      <c r="B175" s="87"/>
      <c r="C175" s="87"/>
      <c r="D175" s="87"/>
      <c r="E175" s="87"/>
      <c r="F175" s="87"/>
      <c r="G175" s="88"/>
      <c r="I175" s="117"/>
      <c r="J175" s="117"/>
      <c r="K175" s="117"/>
      <c r="L175" s="117"/>
      <c r="M175" s="117"/>
      <c r="N175" s="117"/>
      <c r="O175" s="159"/>
      <c r="P175" s="159"/>
      <c r="Q175" s="117"/>
      <c r="R175" s="117"/>
      <c r="S175" s="117"/>
      <c r="T175" s="147">
        <v>0.46</v>
      </c>
      <c r="U175" s="117"/>
      <c r="V175" s="117"/>
      <c r="W175" s="117"/>
      <c r="X175" s="117"/>
      <c r="Y175" s="117"/>
      <c r="Z175" s="117"/>
      <c r="AA175" s="117"/>
    </row>
    <row r="176" spans="1:27" x14ac:dyDescent="0.3">
      <c r="A176" s="87"/>
      <c r="B176" s="87"/>
      <c r="C176" s="87"/>
      <c r="D176" s="87"/>
      <c r="E176" s="87"/>
      <c r="F176" s="87"/>
      <c r="G176" s="88"/>
      <c r="I176" s="117"/>
      <c r="J176" s="117"/>
      <c r="K176" s="117"/>
      <c r="L176" s="117"/>
      <c r="M176" s="117"/>
      <c r="N176" s="117"/>
      <c r="O176" s="159"/>
      <c r="P176" s="159"/>
      <c r="Q176" s="117"/>
      <c r="R176" s="117"/>
      <c r="S176" s="117"/>
      <c r="T176" s="147">
        <v>0.47</v>
      </c>
      <c r="U176" s="117"/>
      <c r="V176" s="117"/>
      <c r="W176" s="117"/>
      <c r="X176" s="117"/>
      <c r="Y176" s="117"/>
      <c r="Z176" s="117"/>
      <c r="AA176" s="117"/>
    </row>
    <row r="177" spans="1:27" x14ac:dyDescent="0.3">
      <c r="A177" s="87"/>
      <c r="B177" s="87"/>
      <c r="C177" s="87"/>
      <c r="D177" s="87"/>
      <c r="E177" s="87"/>
      <c r="F177" s="87"/>
      <c r="G177" s="88"/>
      <c r="I177" s="117"/>
      <c r="J177" s="117"/>
      <c r="K177" s="117"/>
      <c r="L177" s="117"/>
      <c r="M177" s="117"/>
      <c r="N177" s="117"/>
      <c r="O177" s="159"/>
      <c r="P177" s="159"/>
      <c r="Q177" s="117"/>
      <c r="R177" s="117"/>
      <c r="S177" s="117"/>
      <c r="T177" s="147">
        <v>0.48</v>
      </c>
      <c r="U177" s="117"/>
      <c r="V177" s="117"/>
      <c r="W177" s="117"/>
      <c r="X177" s="117"/>
      <c r="Y177" s="117"/>
      <c r="Z177" s="117"/>
      <c r="AA177" s="117"/>
    </row>
    <row r="178" spans="1:27" x14ac:dyDescent="0.3">
      <c r="A178" s="87"/>
      <c r="B178" s="87"/>
      <c r="C178" s="87"/>
      <c r="D178" s="87"/>
      <c r="E178" s="87"/>
      <c r="F178" s="87"/>
      <c r="G178" s="88"/>
      <c r="I178" s="117"/>
      <c r="J178" s="117"/>
      <c r="K178" s="117"/>
      <c r="L178" s="117"/>
      <c r="M178" s="117"/>
      <c r="N178" s="117"/>
      <c r="O178" s="159"/>
      <c r="P178" s="159"/>
      <c r="Q178" s="117"/>
      <c r="R178" s="117"/>
      <c r="S178" s="117"/>
      <c r="T178" s="147">
        <v>0.49</v>
      </c>
      <c r="U178" s="117"/>
      <c r="V178" s="117"/>
      <c r="W178" s="117"/>
      <c r="X178" s="117"/>
      <c r="Y178" s="117"/>
      <c r="Z178" s="117"/>
      <c r="AA178" s="117"/>
    </row>
    <row r="179" spans="1:27" x14ac:dyDescent="0.3">
      <c r="A179" s="87"/>
      <c r="B179" s="87"/>
      <c r="C179" s="87"/>
      <c r="D179" s="87"/>
      <c r="E179" s="87"/>
      <c r="F179" s="87"/>
      <c r="G179" s="88"/>
      <c r="I179" s="117"/>
      <c r="J179" s="117"/>
      <c r="K179" s="117"/>
      <c r="L179" s="117"/>
      <c r="M179" s="117"/>
      <c r="N179" s="117"/>
      <c r="O179" s="159"/>
      <c r="P179" s="159"/>
      <c r="Q179" s="117"/>
      <c r="R179" s="117"/>
      <c r="S179" s="117"/>
      <c r="T179" s="147">
        <v>0.5</v>
      </c>
      <c r="U179" s="117"/>
      <c r="V179" s="117"/>
      <c r="W179" s="117"/>
      <c r="X179" s="117"/>
      <c r="Y179" s="117"/>
      <c r="Z179" s="117"/>
      <c r="AA179" s="117"/>
    </row>
    <row r="180" spans="1:27" x14ac:dyDescent="0.3">
      <c r="A180" s="87"/>
      <c r="B180" s="87"/>
      <c r="C180" s="87"/>
      <c r="D180" s="87"/>
      <c r="E180" s="87"/>
      <c r="F180" s="87"/>
      <c r="G180" s="88"/>
      <c r="I180" s="117"/>
      <c r="J180" s="117"/>
      <c r="K180" s="117"/>
      <c r="L180" s="117"/>
      <c r="M180" s="117"/>
      <c r="N180" s="117"/>
      <c r="O180" s="159"/>
      <c r="P180" s="159"/>
      <c r="Q180" s="117"/>
      <c r="R180" s="117"/>
      <c r="S180" s="117"/>
      <c r="T180" s="147">
        <v>0.51</v>
      </c>
      <c r="U180" s="117"/>
      <c r="V180" s="117"/>
      <c r="W180" s="117"/>
      <c r="X180" s="117"/>
      <c r="Y180" s="117"/>
      <c r="Z180" s="117"/>
      <c r="AA180" s="117"/>
    </row>
    <row r="181" spans="1:27" x14ac:dyDescent="0.3">
      <c r="A181" s="87"/>
      <c r="B181" s="87"/>
      <c r="C181" s="87"/>
      <c r="D181" s="87"/>
      <c r="E181" s="87"/>
      <c r="F181" s="87"/>
      <c r="G181" s="88"/>
      <c r="I181" s="117"/>
      <c r="J181" s="117"/>
      <c r="K181" s="117"/>
      <c r="L181" s="117"/>
      <c r="M181" s="117"/>
      <c r="N181" s="117"/>
      <c r="O181" s="159"/>
      <c r="P181" s="159"/>
      <c r="Q181" s="117"/>
      <c r="R181" s="117"/>
      <c r="S181" s="117"/>
      <c r="T181" s="147">
        <v>0.52</v>
      </c>
      <c r="U181" s="117"/>
      <c r="V181" s="117"/>
      <c r="W181" s="117"/>
      <c r="X181" s="117"/>
      <c r="Y181" s="117"/>
      <c r="Z181" s="117"/>
      <c r="AA181" s="117"/>
    </row>
    <row r="182" spans="1:27" x14ac:dyDescent="0.3">
      <c r="A182" s="87"/>
      <c r="B182" s="87"/>
      <c r="C182" s="87"/>
      <c r="D182" s="87"/>
      <c r="E182" s="87"/>
      <c r="F182" s="87"/>
      <c r="G182" s="88"/>
      <c r="I182" s="117"/>
      <c r="J182" s="117"/>
      <c r="K182" s="117"/>
      <c r="L182" s="117"/>
      <c r="M182" s="117"/>
      <c r="N182" s="117"/>
      <c r="O182" s="159"/>
      <c r="P182" s="159"/>
      <c r="Q182" s="117"/>
      <c r="R182" s="117"/>
      <c r="S182" s="117"/>
      <c r="T182" s="147">
        <v>0.53</v>
      </c>
      <c r="U182" s="117"/>
      <c r="V182" s="117"/>
      <c r="W182" s="117"/>
      <c r="X182" s="117"/>
      <c r="Y182" s="117"/>
      <c r="Z182" s="117"/>
      <c r="AA182" s="117"/>
    </row>
    <row r="183" spans="1:27" x14ac:dyDescent="0.3">
      <c r="A183" s="87"/>
      <c r="B183" s="87"/>
      <c r="C183" s="87"/>
      <c r="D183" s="87"/>
      <c r="E183" s="87"/>
      <c r="F183" s="87"/>
      <c r="G183" s="88"/>
      <c r="I183" s="117"/>
      <c r="J183" s="117"/>
      <c r="K183" s="117"/>
      <c r="L183" s="117"/>
      <c r="M183" s="117"/>
      <c r="N183" s="117"/>
      <c r="O183" s="159"/>
      <c r="P183" s="159"/>
      <c r="Q183" s="117"/>
      <c r="R183" s="117"/>
      <c r="S183" s="117"/>
      <c r="T183" s="147">
        <v>0.54</v>
      </c>
      <c r="U183" s="117"/>
      <c r="V183" s="117"/>
      <c r="W183" s="117"/>
      <c r="X183" s="117"/>
      <c r="Y183" s="117"/>
      <c r="Z183" s="117"/>
      <c r="AA183" s="117"/>
    </row>
    <row r="184" spans="1:27" x14ac:dyDescent="0.3">
      <c r="A184" s="87"/>
      <c r="B184" s="87"/>
      <c r="C184" s="87"/>
      <c r="D184" s="87"/>
      <c r="E184" s="87"/>
      <c r="F184" s="87"/>
      <c r="G184" s="88"/>
      <c r="I184" s="117"/>
      <c r="J184" s="117"/>
      <c r="K184" s="117"/>
      <c r="L184" s="117"/>
      <c r="M184" s="117"/>
      <c r="N184" s="117"/>
      <c r="O184" s="159"/>
      <c r="P184" s="159"/>
      <c r="Q184" s="117"/>
      <c r="R184" s="117"/>
      <c r="S184" s="117"/>
      <c r="T184" s="147">
        <v>0.55000000000000004</v>
      </c>
      <c r="U184" s="117"/>
      <c r="V184" s="117"/>
      <c r="W184" s="117"/>
      <c r="X184" s="117"/>
      <c r="Y184" s="117"/>
      <c r="Z184" s="117"/>
      <c r="AA184" s="117"/>
    </row>
    <row r="185" spans="1:27" x14ac:dyDescent="0.3">
      <c r="A185" s="87"/>
      <c r="B185" s="87"/>
      <c r="C185" s="87"/>
      <c r="D185" s="87"/>
      <c r="E185" s="87"/>
      <c r="F185" s="87"/>
      <c r="G185" s="88"/>
      <c r="I185" s="117"/>
      <c r="J185" s="117"/>
      <c r="K185" s="117"/>
      <c r="L185" s="117"/>
      <c r="M185" s="117"/>
      <c r="N185" s="117"/>
      <c r="O185" s="159"/>
      <c r="P185" s="159"/>
      <c r="Q185" s="117"/>
      <c r="R185" s="117"/>
      <c r="S185" s="117"/>
      <c r="T185" s="147">
        <v>0.56000000000000005</v>
      </c>
      <c r="U185" s="117"/>
      <c r="V185" s="117"/>
      <c r="W185" s="117"/>
      <c r="X185" s="117"/>
      <c r="Y185" s="117"/>
      <c r="Z185" s="117"/>
      <c r="AA185" s="117"/>
    </row>
    <row r="186" spans="1:27" x14ac:dyDescent="0.3">
      <c r="A186" s="87"/>
      <c r="B186" s="87"/>
      <c r="C186" s="87"/>
      <c r="D186" s="87"/>
      <c r="E186" s="87"/>
      <c r="F186" s="87"/>
      <c r="G186" s="88"/>
      <c r="I186" s="117"/>
      <c r="J186" s="117"/>
      <c r="K186" s="117"/>
      <c r="L186" s="117"/>
      <c r="M186" s="117"/>
      <c r="N186" s="117"/>
      <c r="O186" s="159"/>
      <c r="P186" s="159"/>
      <c r="Q186" s="117"/>
      <c r="R186" s="117"/>
      <c r="S186" s="117"/>
      <c r="T186" s="147">
        <v>0.56999999999999995</v>
      </c>
      <c r="U186" s="117"/>
      <c r="V186" s="117"/>
      <c r="W186" s="117"/>
      <c r="X186" s="117"/>
      <c r="Y186" s="117"/>
      <c r="Z186" s="117"/>
      <c r="AA186" s="117"/>
    </row>
    <row r="187" spans="1:27" x14ac:dyDescent="0.3">
      <c r="A187" s="87"/>
      <c r="B187" s="87"/>
      <c r="C187" s="87"/>
      <c r="D187" s="87"/>
      <c r="E187" s="87"/>
      <c r="F187" s="87"/>
      <c r="G187" s="88"/>
      <c r="I187" s="117"/>
      <c r="J187" s="117"/>
      <c r="K187" s="117"/>
      <c r="L187" s="117"/>
      <c r="M187" s="117"/>
      <c r="N187" s="117"/>
      <c r="O187" s="159"/>
      <c r="P187" s="159"/>
      <c r="Q187" s="117"/>
      <c r="R187" s="117"/>
      <c r="S187" s="117"/>
      <c r="T187" s="147">
        <v>0.57999999999999996</v>
      </c>
      <c r="U187" s="117"/>
      <c r="V187" s="117"/>
      <c r="W187" s="117"/>
      <c r="X187" s="117"/>
      <c r="Y187" s="117"/>
      <c r="Z187" s="117"/>
      <c r="AA187" s="117"/>
    </row>
    <row r="188" spans="1:27" x14ac:dyDescent="0.3">
      <c r="A188" s="87"/>
      <c r="B188" s="87"/>
      <c r="C188" s="87"/>
      <c r="D188" s="87"/>
      <c r="E188" s="87"/>
      <c r="F188" s="87"/>
      <c r="G188" s="88"/>
      <c r="I188" s="117"/>
      <c r="J188" s="117"/>
      <c r="K188" s="117"/>
      <c r="L188" s="117"/>
      <c r="M188" s="117"/>
      <c r="N188" s="117"/>
      <c r="O188" s="159"/>
      <c r="P188" s="159"/>
      <c r="Q188" s="117"/>
      <c r="R188" s="117"/>
      <c r="S188" s="117"/>
      <c r="T188" s="147">
        <v>0.59</v>
      </c>
      <c r="U188" s="117"/>
      <c r="V188" s="117"/>
      <c r="W188" s="117"/>
      <c r="X188" s="117"/>
      <c r="Y188" s="117"/>
      <c r="Z188" s="117"/>
      <c r="AA188" s="117"/>
    </row>
    <row r="189" spans="1:27" x14ac:dyDescent="0.3">
      <c r="A189" s="87"/>
      <c r="B189" s="87"/>
      <c r="C189" s="87"/>
      <c r="D189" s="87"/>
      <c r="E189" s="87"/>
      <c r="F189" s="87"/>
      <c r="G189" s="88"/>
      <c r="I189" s="117"/>
      <c r="J189" s="117"/>
      <c r="K189" s="117"/>
      <c r="L189" s="117"/>
      <c r="M189" s="117"/>
      <c r="N189" s="117"/>
      <c r="O189" s="159"/>
      <c r="P189" s="159"/>
      <c r="Q189" s="117"/>
      <c r="R189" s="117"/>
      <c r="S189" s="117"/>
      <c r="T189" s="147">
        <v>0.6</v>
      </c>
      <c r="U189" s="117"/>
      <c r="V189" s="117"/>
      <c r="W189" s="117"/>
      <c r="X189" s="117"/>
      <c r="Y189" s="117"/>
      <c r="Z189" s="117"/>
      <c r="AA189" s="117"/>
    </row>
    <row r="190" spans="1:27" x14ac:dyDescent="0.3">
      <c r="A190" s="87"/>
      <c r="B190" s="87"/>
      <c r="C190" s="87"/>
      <c r="D190" s="87"/>
      <c r="E190" s="87"/>
      <c r="F190" s="87"/>
      <c r="G190" s="88"/>
      <c r="I190" s="117"/>
      <c r="J190" s="117"/>
      <c r="K190" s="117"/>
      <c r="L190" s="117"/>
      <c r="M190" s="117"/>
      <c r="N190" s="117"/>
      <c r="O190" s="159"/>
      <c r="P190" s="159"/>
      <c r="Q190" s="117"/>
      <c r="R190" s="117"/>
      <c r="S190" s="117"/>
      <c r="T190" s="147">
        <v>0.61</v>
      </c>
      <c r="U190" s="117"/>
      <c r="V190" s="117"/>
      <c r="W190" s="117"/>
      <c r="X190" s="117"/>
      <c r="Y190" s="117"/>
      <c r="Z190" s="117"/>
      <c r="AA190" s="117"/>
    </row>
    <row r="191" spans="1:27" x14ac:dyDescent="0.3">
      <c r="A191" s="87"/>
      <c r="B191" s="87"/>
      <c r="C191" s="87"/>
      <c r="D191" s="87"/>
      <c r="E191" s="87"/>
      <c r="F191" s="87"/>
      <c r="G191" s="88"/>
      <c r="N191" s="117"/>
      <c r="O191" s="159"/>
      <c r="P191" s="159"/>
      <c r="Q191" s="117"/>
      <c r="R191" s="117"/>
      <c r="S191" s="117"/>
      <c r="T191" s="147">
        <v>0.62</v>
      </c>
      <c r="U191" s="117"/>
      <c r="V191" s="117"/>
      <c r="W191" s="117"/>
      <c r="X191" s="117"/>
      <c r="Y191" s="117"/>
      <c r="Z191" s="117"/>
    </row>
    <row r="192" spans="1:27" hidden="1" x14ac:dyDescent="0.3">
      <c r="A192" s="87"/>
      <c r="B192" s="87"/>
      <c r="C192" s="87"/>
      <c r="D192" s="87"/>
      <c r="E192" s="87"/>
      <c r="F192" s="87"/>
      <c r="G192" s="88"/>
      <c r="N192" s="117"/>
      <c r="O192" s="159"/>
      <c r="P192" s="159"/>
      <c r="Q192" s="117"/>
      <c r="R192" s="117"/>
      <c r="S192" s="117"/>
      <c r="T192" s="147">
        <v>0.63</v>
      </c>
      <c r="U192" s="117"/>
      <c r="V192" s="117"/>
      <c r="W192" s="117"/>
      <c r="X192" s="117"/>
      <c r="Y192" s="117"/>
      <c r="Z192" s="117"/>
    </row>
    <row r="193" spans="1:26" hidden="1" x14ac:dyDescent="0.3">
      <c r="A193" s="87"/>
      <c r="B193" s="87"/>
      <c r="C193" s="87"/>
      <c r="D193" s="87"/>
      <c r="E193" s="87"/>
      <c r="F193" s="87"/>
      <c r="G193" s="88"/>
      <c r="N193" s="117"/>
      <c r="O193" s="159"/>
      <c r="P193" s="159"/>
      <c r="Q193" s="117"/>
      <c r="R193" s="117"/>
      <c r="S193" s="117"/>
      <c r="T193" s="147">
        <v>0.64</v>
      </c>
      <c r="U193" s="117"/>
      <c r="V193" s="117"/>
      <c r="W193" s="117"/>
      <c r="X193" s="117"/>
      <c r="Y193" s="117"/>
      <c r="Z193" s="117"/>
    </row>
    <row r="194" spans="1:26" hidden="1" x14ac:dyDescent="0.3">
      <c r="A194" s="87"/>
      <c r="B194" s="87"/>
      <c r="C194" s="87"/>
      <c r="D194" s="87"/>
      <c r="E194" s="87"/>
      <c r="F194" s="87"/>
      <c r="G194" s="88"/>
      <c r="N194" s="117"/>
      <c r="O194" s="159"/>
      <c r="P194" s="159"/>
      <c r="Q194" s="117"/>
      <c r="R194" s="117"/>
      <c r="S194" s="117"/>
      <c r="T194" s="147">
        <v>0.65</v>
      </c>
      <c r="U194" s="117"/>
      <c r="V194" s="117"/>
      <c r="W194" s="117"/>
      <c r="X194" s="117"/>
      <c r="Y194" s="117"/>
      <c r="Z194" s="117"/>
    </row>
    <row r="195" spans="1:26" hidden="1" x14ac:dyDescent="0.3">
      <c r="A195" s="87"/>
      <c r="B195" s="87"/>
      <c r="C195" s="87"/>
      <c r="D195" s="87"/>
      <c r="E195" s="87"/>
      <c r="F195" s="87"/>
      <c r="G195" s="88"/>
      <c r="N195" s="117"/>
      <c r="O195" s="159"/>
      <c r="P195" s="159"/>
      <c r="Q195" s="117"/>
      <c r="R195" s="117"/>
      <c r="S195" s="117"/>
      <c r="T195" s="147">
        <v>0.66</v>
      </c>
      <c r="U195" s="117"/>
      <c r="V195" s="117"/>
      <c r="W195" s="117"/>
      <c r="X195" s="117"/>
      <c r="Y195" s="117"/>
      <c r="Z195" s="117"/>
    </row>
    <row r="196" spans="1:26" hidden="1" x14ac:dyDescent="0.3">
      <c r="A196" s="87"/>
      <c r="B196" s="87"/>
      <c r="C196" s="87"/>
      <c r="D196" s="87"/>
      <c r="E196" s="87"/>
      <c r="F196" s="87"/>
      <c r="G196" s="88"/>
      <c r="N196" s="117"/>
      <c r="O196" s="159"/>
      <c r="P196" s="159"/>
      <c r="Q196" s="117"/>
      <c r="R196" s="117"/>
      <c r="S196" s="117"/>
      <c r="T196" s="147">
        <v>0.67</v>
      </c>
      <c r="U196" s="117"/>
      <c r="V196" s="117"/>
      <c r="W196" s="117"/>
      <c r="X196" s="117"/>
      <c r="Y196" s="117"/>
      <c r="Z196" s="117"/>
    </row>
    <row r="197" spans="1:26" hidden="1" x14ac:dyDescent="0.3">
      <c r="A197" s="87"/>
      <c r="B197" s="87"/>
      <c r="C197" s="87"/>
      <c r="D197" s="87"/>
      <c r="E197" s="87"/>
      <c r="F197" s="87"/>
      <c r="G197" s="88"/>
      <c r="N197" s="117"/>
      <c r="O197" s="159"/>
      <c r="P197" s="159"/>
      <c r="Q197" s="117"/>
      <c r="R197" s="117"/>
      <c r="S197" s="117"/>
      <c r="T197" s="147">
        <v>0.68</v>
      </c>
      <c r="U197" s="117"/>
      <c r="V197" s="117"/>
      <c r="W197" s="117"/>
      <c r="X197" s="117"/>
      <c r="Y197" s="117"/>
      <c r="Z197" s="117"/>
    </row>
    <row r="198" spans="1:26" hidden="1" x14ac:dyDescent="0.3">
      <c r="A198" s="87"/>
      <c r="B198" s="87"/>
      <c r="C198" s="87"/>
      <c r="D198" s="87"/>
      <c r="E198" s="87"/>
      <c r="F198" s="87"/>
      <c r="G198" s="88"/>
      <c r="N198" s="117"/>
      <c r="O198" s="159"/>
      <c r="P198" s="159"/>
      <c r="Q198" s="117"/>
      <c r="R198" s="117"/>
      <c r="S198" s="117"/>
      <c r="T198" s="147">
        <v>0.69</v>
      </c>
      <c r="U198" s="117"/>
      <c r="V198" s="117"/>
      <c r="W198" s="117"/>
      <c r="X198" s="117"/>
      <c r="Y198" s="117"/>
      <c r="Z198" s="117"/>
    </row>
    <row r="199" spans="1:26" hidden="1" x14ac:dyDescent="0.3">
      <c r="A199" s="87"/>
      <c r="B199" s="87"/>
      <c r="C199" s="87"/>
      <c r="D199" s="87"/>
      <c r="E199" s="87"/>
      <c r="F199" s="87"/>
      <c r="G199" s="88"/>
      <c r="N199" s="117"/>
      <c r="O199" s="159"/>
      <c r="P199" s="159"/>
      <c r="Q199" s="117"/>
      <c r="R199" s="117"/>
      <c r="S199" s="117"/>
      <c r="T199" s="147">
        <v>0.7</v>
      </c>
      <c r="U199" s="117"/>
      <c r="V199" s="117"/>
      <c r="W199" s="117"/>
      <c r="X199" s="117"/>
      <c r="Y199" s="117"/>
      <c r="Z199" s="117"/>
    </row>
    <row r="200" spans="1:26" hidden="1" x14ac:dyDescent="0.3">
      <c r="A200" s="87"/>
      <c r="B200" s="87"/>
      <c r="C200" s="87"/>
      <c r="D200" s="87"/>
      <c r="E200" s="87"/>
      <c r="F200" s="87"/>
      <c r="G200" s="88"/>
      <c r="N200" s="117"/>
      <c r="O200" s="159"/>
      <c r="P200" s="159"/>
      <c r="Q200" s="117"/>
      <c r="R200" s="117"/>
      <c r="S200" s="117"/>
      <c r="T200" s="147">
        <v>0.71</v>
      </c>
      <c r="U200" s="117"/>
      <c r="V200" s="117"/>
      <c r="W200" s="117"/>
      <c r="X200" s="117"/>
      <c r="Y200" s="117"/>
      <c r="Z200" s="117"/>
    </row>
    <row r="201" spans="1:26" hidden="1" x14ac:dyDescent="0.3">
      <c r="A201" s="87"/>
      <c r="B201" s="87"/>
      <c r="C201" s="87"/>
      <c r="D201" s="87"/>
      <c r="E201" s="87"/>
      <c r="F201" s="87"/>
      <c r="G201" s="88"/>
      <c r="N201" s="160"/>
      <c r="O201" s="159"/>
      <c r="P201" s="159"/>
      <c r="Q201" s="117"/>
      <c r="R201" s="117"/>
      <c r="S201" s="117"/>
      <c r="T201" s="147">
        <v>0.72</v>
      </c>
      <c r="U201" s="117"/>
      <c r="V201" s="117"/>
      <c r="W201" s="117"/>
      <c r="X201" s="117"/>
      <c r="Y201" s="117"/>
      <c r="Z201" s="117"/>
    </row>
    <row r="202" spans="1:26" hidden="1" x14ac:dyDescent="0.3">
      <c r="A202" s="87"/>
      <c r="B202" s="87"/>
      <c r="C202" s="87"/>
      <c r="D202" s="87"/>
      <c r="E202" s="87"/>
      <c r="F202" s="87"/>
      <c r="G202" s="88"/>
      <c r="N202" s="160"/>
      <c r="O202" s="159"/>
      <c r="P202" s="159"/>
      <c r="Q202" s="117"/>
      <c r="R202" s="117"/>
      <c r="S202" s="117"/>
      <c r="T202" s="147">
        <v>0.73</v>
      </c>
      <c r="U202" s="117"/>
      <c r="V202" s="117"/>
      <c r="W202" s="117"/>
      <c r="X202" s="117"/>
      <c r="Y202" s="117"/>
      <c r="Z202" s="117"/>
    </row>
    <row r="203" spans="1:26" hidden="1" x14ac:dyDescent="0.3">
      <c r="A203" s="87"/>
      <c r="B203" s="87"/>
      <c r="C203" s="87"/>
      <c r="D203" s="87"/>
      <c r="E203" s="87"/>
      <c r="F203" s="87"/>
      <c r="G203" s="88"/>
      <c r="N203" s="160"/>
      <c r="O203" s="159"/>
      <c r="P203" s="159"/>
      <c r="Q203" s="117"/>
      <c r="R203" s="117"/>
      <c r="S203" s="117"/>
      <c r="T203" s="147">
        <v>0.74</v>
      </c>
      <c r="U203" s="117"/>
      <c r="V203" s="117"/>
      <c r="W203" s="117"/>
      <c r="X203" s="117"/>
      <c r="Y203" s="117"/>
      <c r="Z203" s="117"/>
    </row>
    <row r="204" spans="1:26" hidden="1" x14ac:dyDescent="0.3">
      <c r="A204" s="87"/>
      <c r="B204" s="87"/>
      <c r="C204" s="87"/>
      <c r="D204" s="87"/>
      <c r="E204" s="87"/>
      <c r="F204" s="87"/>
      <c r="G204" s="88"/>
      <c r="N204" s="160"/>
      <c r="O204" s="159"/>
      <c r="P204" s="159"/>
      <c r="Q204" s="117"/>
      <c r="R204" s="117"/>
      <c r="S204" s="117"/>
      <c r="T204" s="147">
        <v>0.75</v>
      </c>
      <c r="U204" s="117"/>
      <c r="V204" s="117"/>
      <c r="W204" s="117"/>
      <c r="X204" s="117"/>
      <c r="Y204" s="117"/>
      <c r="Z204" s="117"/>
    </row>
    <row r="205" spans="1:26" hidden="1" x14ac:dyDescent="0.3">
      <c r="A205" s="87"/>
      <c r="B205" s="87"/>
      <c r="C205" s="87"/>
      <c r="D205" s="87"/>
      <c r="E205" s="87"/>
      <c r="F205" s="87"/>
      <c r="G205" s="88"/>
      <c r="N205" s="160"/>
      <c r="O205" s="159"/>
      <c r="P205" s="159"/>
      <c r="Q205" s="117"/>
      <c r="R205" s="117"/>
      <c r="S205" s="117"/>
      <c r="T205" s="147">
        <v>0.76</v>
      </c>
      <c r="U205" s="117"/>
      <c r="V205" s="117"/>
      <c r="W205" s="117"/>
      <c r="X205" s="117"/>
      <c r="Y205" s="117"/>
      <c r="Z205" s="117"/>
    </row>
    <row r="206" spans="1:26" hidden="1" x14ac:dyDescent="0.3">
      <c r="A206" s="87"/>
      <c r="B206" s="87"/>
      <c r="C206" s="87"/>
      <c r="D206" s="87"/>
      <c r="E206" s="87"/>
      <c r="F206" s="87"/>
      <c r="G206" s="88"/>
      <c r="N206" s="160"/>
      <c r="O206" s="117"/>
      <c r="P206" s="117"/>
      <c r="Q206" s="117"/>
      <c r="R206" s="117"/>
      <c r="S206" s="117"/>
      <c r="T206" s="147">
        <v>0.77</v>
      </c>
      <c r="U206" s="117"/>
      <c r="V206" s="117"/>
      <c r="W206" s="117"/>
      <c r="X206" s="117"/>
      <c r="Y206" s="117"/>
      <c r="Z206" s="117"/>
    </row>
    <row r="207" spans="1:26" hidden="1" x14ac:dyDescent="0.3">
      <c r="A207" s="87"/>
      <c r="B207" s="87"/>
      <c r="C207" s="87"/>
      <c r="D207" s="87"/>
      <c r="E207" s="87"/>
      <c r="F207" s="87"/>
      <c r="G207" s="88"/>
      <c r="N207" s="160"/>
      <c r="O207" s="117"/>
      <c r="P207" s="117"/>
      <c r="Q207" s="117"/>
      <c r="R207" s="117"/>
      <c r="S207" s="117"/>
      <c r="T207" s="147">
        <v>0.78</v>
      </c>
      <c r="U207" s="117"/>
      <c r="V207" s="117"/>
      <c r="W207" s="117"/>
      <c r="X207" s="117"/>
      <c r="Y207" s="117"/>
      <c r="Z207" s="117"/>
    </row>
    <row r="208" spans="1:26" hidden="1" x14ac:dyDescent="0.3">
      <c r="A208" s="87"/>
      <c r="B208" s="87"/>
      <c r="C208" s="87"/>
      <c r="D208" s="87"/>
      <c r="E208" s="87"/>
      <c r="F208" s="87"/>
      <c r="G208" s="88"/>
      <c r="N208" s="119"/>
      <c r="O208" s="117"/>
      <c r="P208" s="117"/>
      <c r="Q208" s="117"/>
      <c r="R208" s="117"/>
      <c r="S208" s="117"/>
      <c r="T208" s="147">
        <v>0.79</v>
      </c>
      <c r="U208" s="117"/>
      <c r="V208" s="117"/>
      <c r="W208" s="117"/>
      <c r="X208" s="117"/>
      <c r="Y208" s="117"/>
      <c r="Z208" s="117"/>
    </row>
    <row r="209" spans="1:26" hidden="1" x14ac:dyDescent="0.3">
      <c r="A209" s="87"/>
      <c r="B209" s="87"/>
      <c r="C209" s="87"/>
      <c r="D209" s="87"/>
      <c r="E209" s="87"/>
      <c r="F209" s="87"/>
      <c r="G209" s="88"/>
      <c r="N209" s="119"/>
      <c r="O209" s="117"/>
      <c r="P209" s="117"/>
      <c r="Q209" s="117"/>
      <c r="R209" s="117"/>
      <c r="S209" s="117"/>
      <c r="T209" s="147">
        <v>0.8</v>
      </c>
      <c r="U209" s="117"/>
      <c r="V209" s="117"/>
      <c r="W209" s="117"/>
      <c r="X209" s="117"/>
      <c r="Y209" s="117"/>
      <c r="Z209" s="117"/>
    </row>
    <row r="210" spans="1:26" hidden="1" x14ac:dyDescent="0.3">
      <c r="A210" s="87"/>
      <c r="B210" s="87"/>
      <c r="C210" s="87"/>
      <c r="D210" s="87"/>
      <c r="E210" s="87"/>
      <c r="F210" s="87"/>
      <c r="G210" s="88"/>
      <c r="N210" s="119"/>
      <c r="O210" s="117"/>
      <c r="P210" s="117"/>
      <c r="Q210" s="117"/>
      <c r="R210" s="117"/>
      <c r="S210" s="117"/>
      <c r="T210" s="147">
        <v>0.81</v>
      </c>
      <c r="U210" s="117"/>
      <c r="V210" s="117"/>
      <c r="W210" s="117"/>
      <c r="X210" s="117"/>
      <c r="Y210" s="117"/>
      <c r="Z210" s="117"/>
    </row>
    <row r="211" spans="1:26" hidden="1" x14ac:dyDescent="0.3">
      <c r="A211" s="87"/>
      <c r="B211" s="87"/>
      <c r="C211" s="87"/>
      <c r="D211" s="87"/>
      <c r="E211" s="87"/>
      <c r="F211" s="87"/>
      <c r="G211" s="88"/>
      <c r="N211" s="119"/>
      <c r="O211" s="117"/>
      <c r="P211" s="117"/>
      <c r="Q211" s="117"/>
      <c r="R211" s="117"/>
      <c r="S211" s="117"/>
      <c r="T211" s="147">
        <v>0.82</v>
      </c>
      <c r="U211" s="117"/>
      <c r="V211" s="117"/>
      <c r="W211" s="117"/>
      <c r="X211" s="117"/>
      <c r="Y211" s="117"/>
      <c r="Z211" s="117"/>
    </row>
    <row r="212" spans="1:26" hidden="1" x14ac:dyDescent="0.3">
      <c r="A212" s="87"/>
      <c r="B212" s="87"/>
      <c r="C212" s="87"/>
      <c r="D212" s="87"/>
      <c r="E212" s="87"/>
      <c r="F212" s="87"/>
      <c r="G212" s="88"/>
      <c r="N212" s="119"/>
      <c r="O212" s="117"/>
      <c r="P212" s="117"/>
      <c r="Q212" s="117"/>
      <c r="R212" s="117"/>
      <c r="S212" s="117"/>
      <c r="T212" s="147">
        <v>0.83</v>
      </c>
      <c r="U212" s="117"/>
      <c r="V212" s="117"/>
      <c r="W212" s="117"/>
      <c r="X212" s="117"/>
      <c r="Y212" s="117"/>
      <c r="Z212" s="117"/>
    </row>
    <row r="213" spans="1:26" hidden="1" x14ac:dyDescent="0.3">
      <c r="A213" s="87"/>
      <c r="B213" s="87"/>
      <c r="C213" s="87"/>
      <c r="D213" s="87"/>
      <c r="E213" s="87"/>
      <c r="F213" s="87"/>
      <c r="G213" s="88"/>
      <c r="N213" s="119"/>
      <c r="O213" s="117"/>
      <c r="P213" s="117"/>
      <c r="Q213" s="117"/>
      <c r="R213" s="117"/>
      <c r="S213" s="117"/>
      <c r="T213" s="147">
        <v>0.84</v>
      </c>
      <c r="U213" s="117"/>
      <c r="V213" s="117"/>
      <c r="W213" s="117"/>
      <c r="X213" s="117"/>
      <c r="Y213" s="117"/>
      <c r="Z213" s="117"/>
    </row>
    <row r="214" spans="1:26" hidden="1" x14ac:dyDescent="0.3">
      <c r="A214" s="87"/>
      <c r="B214" s="87"/>
      <c r="C214" s="87"/>
      <c r="D214" s="87"/>
      <c r="E214" s="87"/>
      <c r="F214" s="87"/>
      <c r="G214" s="88"/>
      <c r="N214" s="119"/>
      <c r="O214" s="117"/>
      <c r="P214" s="117"/>
      <c r="Q214" s="117"/>
      <c r="R214" s="117"/>
      <c r="S214" s="117"/>
      <c r="T214" s="147">
        <v>0.85</v>
      </c>
      <c r="U214" s="117"/>
      <c r="V214" s="117"/>
      <c r="W214" s="117"/>
      <c r="X214" s="117"/>
      <c r="Y214" s="117"/>
      <c r="Z214" s="117"/>
    </row>
    <row r="215" spans="1:26" hidden="1" x14ac:dyDescent="0.3">
      <c r="A215" s="87"/>
      <c r="B215" s="87"/>
      <c r="C215" s="87"/>
      <c r="D215" s="87"/>
      <c r="E215" s="87"/>
      <c r="F215" s="87"/>
      <c r="G215" s="88"/>
      <c r="N215" s="119"/>
      <c r="O215" s="117"/>
      <c r="P215" s="117"/>
      <c r="Q215" s="117"/>
      <c r="R215" s="117"/>
      <c r="S215" s="117"/>
      <c r="T215" s="147">
        <v>0.86</v>
      </c>
      <c r="U215" s="117"/>
      <c r="V215" s="117"/>
      <c r="W215" s="117"/>
      <c r="X215" s="117"/>
      <c r="Y215" s="117"/>
      <c r="Z215" s="117"/>
    </row>
    <row r="216" spans="1:26" hidden="1" x14ac:dyDescent="0.3">
      <c r="A216" s="87"/>
      <c r="B216" s="87"/>
      <c r="C216" s="87"/>
      <c r="D216" s="87"/>
      <c r="E216" s="87"/>
      <c r="F216" s="87"/>
      <c r="G216" s="88"/>
      <c r="N216" s="119"/>
      <c r="O216" s="117"/>
      <c r="P216" s="117"/>
      <c r="Q216" s="117"/>
      <c r="R216" s="117"/>
      <c r="S216" s="117"/>
      <c r="T216" s="147">
        <v>0.87</v>
      </c>
      <c r="U216" s="117"/>
      <c r="V216" s="117"/>
      <c r="W216" s="117"/>
      <c r="X216" s="117"/>
      <c r="Y216" s="117"/>
      <c r="Z216" s="117"/>
    </row>
    <row r="217" spans="1:26" hidden="1" x14ac:dyDescent="0.3">
      <c r="A217" s="87"/>
      <c r="B217" s="87"/>
      <c r="C217" s="87"/>
      <c r="D217" s="87"/>
      <c r="E217" s="87"/>
      <c r="F217" s="87"/>
      <c r="G217" s="88"/>
      <c r="N217" s="119"/>
      <c r="O217" s="117"/>
      <c r="P217" s="117"/>
      <c r="Q217" s="117"/>
      <c r="R217" s="117"/>
      <c r="S217" s="117"/>
      <c r="T217" s="147">
        <v>0.88</v>
      </c>
      <c r="U217" s="117"/>
      <c r="V217" s="117"/>
      <c r="W217" s="117"/>
      <c r="X217" s="117"/>
      <c r="Y217" s="117"/>
      <c r="Z217" s="117"/>
    </row>
    <row r="218" spans="1:26" hidden="1" x14ac:dyDescent="0.3">
      <c r="A218" s="87"/>
      <c r="B218" s="87"/>
      <c r="C218" s="87"/>
      <c r="D218" s="87"/>
      <c r="E218" s="87"/>
      <c r="F218" s="87"/>
      <c r="G218" s="88"/>
      <c r="N218" s="119"/>
      <c r="O218" s="117"/>
      <c r="P218" s="117"/>
      <c r="Q218" s="117"/>
      <c r="R218" s="117"/>
      <c r="S218" s="117"/>
      <c r="T218" s="147">
        <v>0.89</v>
      </c>
      <c r="U218" s="117"/>
      <c r="V218" s="117"/>
      <c r="W218" s="117"/>
      <c r="X218" s="117"/>
      <c r="Y218" s="117"/>
      <c r="Z218" s="117"/>
    </row>
    <row r="219" spans="1:26" hidden="1" x14ac:dyDescent="0.3">
      <c r="A219" s="87"/>
      <c r="B219" s="87"/>
      <c r="C219" s="87"/>
      <c r="D219" s="87"/>
      <c r="E219" s="87"/>
      <c r="F219" s="87"/>
      <c r="G219" s="88"/>
      <c r="N219" s="119"/>
      <c r="O219" s="117"/>
      <c r="P219" s="117"/>
      <c r="Q219" s="117"/>
      <c r="R219" s="117"/>
      <c r="S219" s="117"/>
      <c r="T219" s="147">
        <v>0.9</v>
      </c>
      <c r="U219" s="117"/>
      <c r="V219" s="117"/>
      <c r="W219" s="117"/>
      <c r="X219" s="117"/>
      <c r="Y219" s="117"/>
      <c r="Z219" s="117"/>
    </row>
    <row r="220" spans="1:26" hidden="1" x14ac:dyDescent="0.3">
      <c r="A220" s="87"/>
      <c r="B220" s="87"/>
      <c r="C220" s="87"/>
      <c r="D220" s="87"/>
      <c r="E220" s="87"/>
      <c r="F220" s="87"/>
      <c r="G220" s="88"/>
      <c r="N220" s="119"/>
      <c r="O220" s="117"/>
      <c r="P220" s="117"/>
      <c r="Q220" s="117"/>
      <c r="R220" s="117"/>
      <c r="S220" s="117"/>
      <c r="T220" s="147">
        <v>0.91</v>
      </c>
      <c r="U220" s="117"/>
      <c r="V220" s="117"/>
      <c r="W220" s="117"/>
      <c r="X220" s="117"/>
      <c r="Y220" s="117"/>
      <c r="Z220" s="117"/>
    </row>
    <row r="221" spans="1:26" hidden="1" x14ac:dyDescent="0.3">
      <c r="A221" s="87"/>
      <c r="B221" s="87"/>
      <c r="C221" s="87"/>
      <c r="D221" s="87"/>
      <c r="E221" s="87"/>
      <c r="F221" s="87"/>
      <c r="G221" s="88"/>
      <c r="N221" s="119"/>
      <c r="O221" s="117"/>
      <c r="P221" s="117"/>
      <c r="Q221" s="117"/>
      <c r="R221" s="117"/>
      <c r="S221" s="117"/>
      <c r="T221" s="147">
        <v>0.92</v>
      </c>
      <c r="U221" s="117"/>
      <c r="V221" s="117"/>
      <c r="W221" s="117"/>
      <c r="X221" s="117"/>
      <c r="Y221" s="117"/>
      <c r="Z221" s="117"/>
    </row>
    <row r="222" spans="1:26" hidden="1" x14ac:dyDescent="0.3">
      <c r="A222" s="87"/>
      <c r="B222" s="87"/>
      <c r="C222" s="87"/>
      <c r="D222" s="87"/>
      <c r="E222" s="87"/>
      <c r="F222" s="87"/>
      <c r="G222" s="88"/>
      <c r="N222" s="119"/>
      <c r="O222" s="117"/>
      <c r="P222" s="117"/>
      <c r="Q222" s="117"/>
      <c r="R222" s="117"/>
      <c r="S222" s="117"/>
      <c r="T222" s="147">
        <v>0.93</v>
      </c>
      <c r="U222" s="117"/>
      <c r="V222" s="117"/>
      <c r="W222" s="117"/>
      <c r="X222" s="117"/>
      <c r="Y222" s="117"/>
      <c r="Z222" s="117"/>
    </row>
    <row r="223" spans="1:26" hidden="1" x14ac:dyDescent="0.3">
      <c r="A223" s="87"/>
      <c r="B223" s="87"/>
      <c r="C223" s="87"/>
      <c r="D223" s="87"/>
      <c r="E223" s="87"/>
      <c r="F223" s="87"/>
      <c r="G223" s="88"/>
      <c r="N223" s="119"/>
      <c r="O223" s="117"/>
      <c r="P223" s="117"/>
      <c r="Q223" s="117"/>
      <c r="R223" s="117"/>
      <c r="S223" s="117"/>
      <c r="T223" s="147">
        <v>0.94</v>
      </c>
      <c r="U223" s="117"/>
      <c r="V223" s="117"/>
      <c r="W223" s="117"/>
      <c r="X223" s="117"/>
      <c r="Y223" s="117"/>
      <c r="Z223" s="117"/>
    </row>
    <row r="224" spans="1:26" hidden="1" x14ac:dyDescent="0.3">
      <c r="A224" s="87"/>
      <c r="B224" s="87"/>
      <c r="C224" s="87"/>
      <c r="D224" s="87"/>
      <c r="E224" s="87"/>
      <c r="F224" s="87"/>
      <c r="G224" s="88"/>
      <c r="N224" s="119"/>
      <c r="O224" s="117"/>
      <c r="P224" s="117"/>
      <c r="Q224" s="117"/>
      <c r="R224" s="117"/>
      <c r="S224" s="117"/>
      <c r="T224" s="147">
        <v>0.95</v>
      </c>
      <c r="U224" s="117"/>
      <c r="V224" s="117"/>
      <c r="W224" s="117"/>
      <c r="X224" s="117"/>
      <c r="Y224" s="117"/>
      <c r="Z224" s="117"/>
    </row>
    <row r="225" spans="1:26" hidden="1" x14ac:dyDescent="0.3">
      <c r="A225" s="87"/>
      <c r="B225" s="87"/>
      <c r="C225" s="87"/>
      <c r="D225" s="87"/>
      <c r="E225" s="87"/>
      <c r="F225" s="87"/>
      <c r="G225" s="88"/>
      <c r="N225" s="119"/>
      <c r="O225" s="117"/>
      <c r="P225" s="117"/>
      <c r="Q225" s="117"/>
      <c r="R225" s="117"/>
      <c r="S225" s="117"/>
      <c r="T225" s="147">
        <v>0.96</v>
      </c>
      <c r="U225" s="117"/>
      <c r="V225" s="117"/>
      <c r="W225" s="117"/>
      <c r="X225" s="117"/>
      <c r="Y225" s="117"/>
      <c r="Z225" s="117"/>
    </row>
    <row r="226" spans="1:26" hidden="1" x14ac:dyDescent="0.3">
      <c r="A226" s="87"/>
      <c r="B226" s="87"/>
      <c r="C226" s="87"/>
      <c r="D226" s="87"/>
      <c r="E226" s="87"/>
      <c r="F226" s="87"/>
      <c r="G226" s="88"/>
      <c r="N226" s="119"/>
      <c r="O226" s="117"/>
      <c r="P226" s="117"/>
      <c r="Q226" s="117"/>
      <c r="R226" s="117"/>
      <c r="S226" s="117"/>
      <c r="T226" s="147">
        <v>0.97</v>
      </c>
      <c r="U226" s="117"/>
      <c r="V226" s="117"/>
      <c r="W226" s="117"/>
      <c r="X226" s="117"/>
      <c r="Y226" s="117"/>
      <c r="Z226" s="117"/>
    </row>
    <row r="227" spans="1:26" hidden="1" x14ac:dyDescent="0.3">
      <c r="A227" s="87"/>
      <c r="B227" s="87"/>
      <c r="C227" s="87"/>
      <c r="D227" s="87"/>
      <c r="E227" s="87"/>
      <c r="F227" s="87"/>
      <c r="G227" s="88"/>
      <c r="N227" s="119"/>
      <c r="O227" s="117"/>
      <c r="P227" s="117"/>
      <c r="Q227" s="117"/>
      <c r="R227" s="117"/>
      <c r="S227" s="117"/>
      <c r="T227" s="147">
        <v>0.98</v>
      </c>
      <c r="U227" s="117"/>
      <c r="V227" s="117"/>
      <c r="W227" s="117"/>
      <c r="X227" s="117"/>
      <c r="Y227" s="117"/>
      <c r="Z227" s="117"/>
    </row>
    <row r="228" spans="1:26" hidden="1" x14ac:dyDescent="0.3">
      <c r="A228" s="87"/>
      <c r="B228" s="87"/>
      <c r="C228" s="87"/>
      <c r="D228" s="87"/>
      <c r="E228" s="87"/>
      <c r="F228" s="87"/>
      <c r="G228" s="88"/>
      <c r="N228" s="119"/>
      <c r="O228" s="117"/>
      <c r="P228" s="117"/>
      <c r="Q228" s="117"/>
      <c r="R228" s="117"/>
      <c r="S228" s="117"/>
      <c r="T228" s="147">
        <v>0.99</v>
      </c>
      <c r="U228" s="117"/>
      <c r="V228" s="117"/>
      <c r="W228" s="117"/>
      <c r="X228" s="117"/>
      <c r="Y228" s="117"/>
      <c r="Z228" s="117"/>
    </row>
    <row r="229" spans="1:26" hidden="1" x14ac:dyDescent="0.3">
      <c r="A229" s="87"/>
      <c r="B229" s="87"/>
      <c r="C229" s="87"/>
      <c r="D229" s="87"/>
      <c r="E229" s="87"/>
      <c r="F229" s="87"/>
      <c r="G229" s="88"/>
      <c r="N229" s="119"/>
      <c r="O229" s="117"/>
      <c r="P229" s="117"/>
      <c r="Q229" s="117"/>
      <c r="R229" s="117"/>
      <c r="S229" s="117"/>
      <c r="T229" s="147">
        <v>1</v>
      </c>
      <c r="U229" s="117"/>
      <c r="V229" s="117"/>
      <c r="W229" s="117"/>
      <c r="X229" s="117"/>
      <c r="Y229" s="117"/>
      <c r="Z229" s="117"/>
    </row>
    <row r="230" spans="1:26" hidden="1" x14ac:dyDescent="0.3">
      <c r="A230" s="87"/>
      <c r="B230" s="87"/>
      <c r="C230" s="87"/>
      <c r="D230" s="87"/>
      <c r="E230" s="87"/>
      <c r="F230" s="87"/>
      <c r="G230" s="88"/>
      <c r="N230" s="119"/>
      <c r="O230" s="117"/>
      <c r="P230" s="117"/>
      <c r="Q230" s="117"/>
      <c r="R230" s="117"/>
      <c r="S230" s="117"/>
      <c r="T230" s="117"/>
      <c r="U230" s="117"/>
      <c r="V230" s="117"/>
      <c r="W230" s="117"/>
      <c r="X230" s="117"/>
      <c r="Y230" s="117"/>
      <c r="Z230" s="117"/>
    </row>
    <row r="231" spans="1:26" hidden="1" x14ac:dyDescent="0.3">
      <c r="A231" s="87"/>
      <c r="B231" s="87"/>
      <c r="C231" s="87"/>
      <c r="D231" s="87"/>
      <c r="E231" s="87"/>
      <c r="F231" s="87"/>
      <c r="G231" s="88"/>
      <c r="N231" s="119"/>
      <c r="O231" s="117"/>
      <c r="P231" s="117"/>
      <c r="Q231" s="117"/>
      <c r="R231" s="117"/>
      <c r="S231" s="117"/>
      <c r="T231" s="117"/>
      <c r="U231" s="117"/>
      <c r="V231" s="117"/>
      <c r="W231" s="117"/>
      <c r="X231" s="117"/>
      <c r="Y231" s="117"/>
      <c r="Z231" s="117"/>
    </row>
    <row r="232" spans="1:26" hidden="1" x14ac:dyDescent="0.3">
      <c r="A232" s="87"/>
      <c r="B232" s="87"/>
      <c r="C232" s="87"/>
      <c r="D232" s="87"/>
      <c r="E232" s="87"/>
      <c r="F232" s="87"/>
      <c r="G232" s="88"/>
      <c r="N232" s="119"/>
      <c r="O232" s="117"/>
      <c r="P232" s="117"/>
      <c r="Q232" s="117"/>
      <c r="R232" s="117"/>
      <c r="S232" s="117"/>
      <c r="T232" s="117"/>
      <c r="U232" s="117"/>
      <c r="V232" s="117"/>
      <c r="W232" s="117"/>
      <c r="X232" s="117"/>
      <c r="Y232" s="117"/>
      <c r="Z232" s="117"/>
    </row>
    <row r="233" spans="1:26" hidden="1" x14ac:dyDescent="0.3">
      <c r="A233" s="87"/>
      <c r="B233" s="87"/>
      <c r="C233" s="87"/>
      <c r="D233" s="87"/>
      <c r="E233" s="87"/>
      <c r="F233" s="87"/>
      <c r="G233" s="88"/>
      <c r="N233" s="119"/>
      <c r="O233" s="117"/>
      <c r="P233" s="117"/>
      <c r="Q233" s="117"/>
      <c r="R233" s="117"/>
      <c r="S233" s="117"/>
      <c r="T233" s="117"/>
      <c r="U233" s="117"/>
      <c r="V233" s="117"/>
      <c r="W233" s="117"/>
      <c r="X233" s="117"/>
      <c r="Y233" s="117"/>
      <c r="Z233" s="117"/>
    </row>
    <row r="234" spans="1:26" hidden="1" x14ac:dyDescent="0.3">
      <c r="A234" s="87"/>
      <c r="B234" s="87"/>
      <c r="C234" s="87"/>
      <c r="D234" s="87"/>
      <c r="E234" s="87"/>
      <c r="F234" s="87"/>
      <c r="G234" s="88"/>
      <c r="N234" s="119"/>
      <c r="O234" s="117"/>
      <c r="P234" s="117"/>
      <c r="Q234" s="117"/>
      <c r="R234" s="117"/>
      <c r="S234" s="117"/>
      <c r="T234" s="117"/>
      <c r="U234" s="117"/>
      <c r="V234" s="117"/>
      <c r="W234" s="117"/>
      <c r="X234" s="117"/>
      <c r="Y234" s="117"/>
      <c r="Z234" s="117"/>
    </row>
    <row r="235" spans="1:26" hidden="1" x14ac:dyDescent="0.3">
      <c r="A235" s="87"/>
      <c r="B235" s="87"/>
      <c r="C235" s="87"/>
      <c r="D235" s="87"/>
      <c r="E235" s="87"/>
      <c r="F235" s="87"/>
      <c r="G235" s="88"/>
      <c r="N235" s="119"/>
      <c r="O235" s="117"/>
      <c r="P235" s="117"/>
      <c r="Q235" s="117"/>
      <c r="R235" s="117"/>
      <c r="S235" s="117"/>
      <c r="T235" s="117"/>
      <c r="U235" s="117"/>
      <c r="V235" s="117"/>
      <c r="W235" s="117"/>
      <c r="X235" s="117"/>
      <c r="Y235" s="117"/>
      <c r="Z235" s="117"/>
    </row>
    <row r="236" spans="1:26" hidden="1" x14ac:dyDescent="0.3">
      <c r="A236" s="87"/>
      <c r="B236" s="87"/>
      <c r="C236" s="87"/>
      <c r="D236" s="87"/>
      <c r="E236" s="87"/>
      <c r="F236" s="87"/>
      <c r="G236" s="88"/>
      <c r="N236" s="119"/>
      <c r="O236" s="117"/>
      <c r="P236" s="117"/>
      <c r="Q236" s="117"/>
      <c r="R236" s="117"/>
      <c r="S236" s="117"/>
      <c r="T236" s="117"/>
      <c r="U236" s="117"/>
      <c r="V236" s="117"/>
      <c r="W236" s="117"/>
      <c r="X236" s="117"/>
      <c r="Y236" s="117"/>
      <c r="Z236" s="117"/>
    </row>
    <row r="237" spans="1:26" hidden="1" x14ac:dyDescent="0.3">
      <c r="A237" s="87"/>
      <c r="B237" s="87"/>
      <c r="C237" s="87"/>
      <c r="D237" s="87"/>
      <c r="E237" s="87"/>
      <c r="F237" s="87"/>
      <c r="G237" s="88"/>
      <c r="N237" s="119"/>
      <c r="O237" s="117"/>
      <c r="P237" s="117"/>
      <c r="Q237" s="117"/>
      <c r="R237" s="117"/>
      <c r="S237" s="117"/>
      <c r="T237" s="117"/>
      <c r="U237" s="117"/>
      <c r="V237" s="117"/>
      <c r="W237" s="117"/>
      <c r="X237" s="117"/>
      <c r="Y237" s="117"/>
      <c r="Z237" s="117"/>
    </row>
    <row r="238" spans="1:26" hidden="1" x14ac:dyDescent="0.3">
      <c r="A238" s="87"/>
      <c r="B238" s="87"/>
      <c r="C238" s="87"/>
      <c r="D238" s="87"/>
      <c r="E238" s="87"/>
      <c r="F238" s="87"/>
      <c r="G238" s="88"/>
      <c r="N238" s="119"/>
      <c r="O238" s="117"/>
      <c r="P238" s="117"/>
      <c r="Q238" s="117"/>
      <c r="R238" s="117"/>
      <c r="S238" s="117"/>
      <c r="T238" s="117"/>
      <c r="U238" s="117"/>
      <c r="V238" s="117"/>
      <c r="W238" s="117"/>
      <c r="X238" s="117"/>
      <c r="Z238" s="117"/>
    </row>
    <row r="239" spans="1:26" hidden="1" x14ac:dyDescent="0.3">
      <c r="A239" s="87"/>
      <c r="B239" s="87"/>
      <c r="C239" s="87"/>
      <c r="D239" s="87"/>
      <c r="E239" s="87"/>
      <c r="F239" s="87"/>
      <c r="G239" s="88"/>
      <c r="N239" s="119"/>
      <c r="O239" s="117"/>
      <c r="P239" s="117"/>
      <c r="Q239" s="117"/>
      <c r="R239" s="117"/>
      <c r="S239" s="117"/>
      <c r="T239" s="117"/>
      <c r="U239" s="117"/>
      <c r="V239" s="117"/>
      <c r="W239" s="117"/>
      <c r="X239" s="117"/>
      <c r="Z239" s="117"/>
    </row>
    <row r="240" spans="1:26" hidden="1" x14ac:dyDescent="0.3">
      <c r="A240" s="87"/>
      <c r="B240" s="87"/>
      <c r="C240" s="87"/>
      <c r="D240" s="87"/>
      <c r="E240" s="87"/>
      <c r="F240" s="87"/>
      <c r="G240" s="88"/>
      <c r="N240" s="119"/>
      <c r="O240" s="117"/>
      <c r="P240" s="117"/>
      <c r="Q240" s="117"/>
      <c r="R240" s="117"/>
      <c r="S240" s="117"/>
      <c r="T240" s="117"/>
      <c r="U240" s="117"/>
      <c r="V240" s="117"/>
      <c r="W240" s="117"/>
      <c r="X240" s="117"/>
      <c r="Z240" s="117"/>
    </row>
    <row r="241" spans="1:26" hidden="1" x14ac:dyDescent="0.3">
      <c r="A241" s="87"/>
      <c r="B241" s="87"/>
      <c r="C241" s="87"/>
      <c r="D241" s="87"/>
      <c r="E241" s="87"/>
      <c r="F241" s="87"/>
      <c r="G241" s="88"/>
      <c r="N241" s="119"/>
      <c r="O241" s="117"/>
      <c r="P241" s="117"/>
      <c r="Q241" s="117"/>
      <c r="R241" s="117"/>
      <c r="S241" s="117"/>
      <c r="T241" s="117"/>
      <c r="U241" s="117"/>
      <c r="V241" s="117"/>
      <c r="W241" s="117"/>
      <c r="X241" s="117"/>
      <c r="Z241" s="117"/>
    </row>
    <row r="242" spans="1:26" hidden="1" x14ac:dyDescent="0.3">
      <c r="A242" s="87"/>
      <c r="B242" s="87"/>
      <c r="C242" s="87"/>
      <c r="D242" s="87"/>
      <c r="E242" s="87"/>
      <c r="F242" s="87"/>
      <c r="G242" s="88"/>
      <c r="N242" s="119"/>
      <c r="O242" s="117"/>
      <c r="P242" s="117"/>
      <c r="Q242" s="117"/>
      <c r="R242" s="117"/>
      <c r="S242" s="117"/>
      <c r="T242" s="117"/>
      <c r="U242" s="117"/>
      <c r="V242" s="117"/>
      <c r="W242" s="117"/>
      <c r="X242" s="117"/>
      <c r="Z242" s="117"/>
    </row>
    <row r="243" spans="1:26" hidden="1" x14ac:dyDescent="0.3">
      <c r="A243" s="87"/>
      <c r="B243" s="87"/>
      <c r="C243" s="87"/>
      <c r="D243" s="87"/>
      <c r="E243" s="87"/>
      <c r="F243" s="87"/>
      <c r="G243" s="88"/>
      <c r="N243" s="119"/>
      <c r="O243" s="117"/>
      <c r="P243" s="117"/>
      <c r="Q243" s="117"/>
      <c r="R243" s="117"/>
      <c r="S243" s="117"/>
      <c r="T243" s="117"/>
      <c r="U243" s="117"/>
      <c r="V243" s="117"/>
      <c r="W243" s="117"/>
      <c r="X243" s="117"/>
      <c r="Z243" s="117"/>
    </row>
    <row r="244" spans="1:26" hidden="1" x14ac:dyDescent="0.3">
      <c r="A244" s="87"/>
      <c r="B244" s="87"/>
      <c r="C244" s="87"/>
      <c r="D244" s="87"/>
      <c r="E244" s="87"/>
      <c r="F244" s="87"/>
      <c r="G244" s="88"/>
      <c r="N244" s="119"/>
      <c r="O244" s="117"/>
      <c r="P244" s="117"/>
      <c r="Q244" s="117"/>
      <c r="R244" s="117"/>
      <c r="S244" s="117"/>
      <c r="T244" s="117"/>
      <c r="U244" s="117"/>
      <c r="V244" s="117"/>
      <c r="W244" s="117"/>
      <c r="X244" s="117"/>
      <c r="Z244" s="117"/>
    </row>
    <row r="245" spans="1:26" hidden="1" x14ac:dyDescent="0.3">
      <c r="A245" s="87"/>
      <c r="B245" s="87"/>
      <c r="C245" s="87"/>
      <c r="D245" s="87"/>
      <c r="E245" s="87"/>
      <c r="F245" s="87"/>
      <c r="G245" s="88"/>
      <c r="N245" s="119"/>
      <c r="O245" s="117"/>
      <c r="P245" s="117"/>
      <c r="Q245" s="117"/>
      <c r="R245" s="117"/>
      <c r="S245" s="117"/>
      <c r="T245" s="117"/>
      <c r="U245" s="117"/>
      <c r="V245" s="117"/>
      <c r="W245" s="117"/>
      <c r="X245" s="117"/>
      <c r="Z245" s="117"/>
    </row>
    <row r="246" spans="1:26" hidden="1" x14ac:dyDescent="0.3">
      <c r="A246" s="87"/>
      <c r="B246" s="87"/>
      <c r="C246" s="87"/>
      <c r="D246" s="87"/>
      <c r="E246" s="87"/>
      <c r="F246" s="87"/>
      <c r="G246" s="88"/>
      <c r="N246" s="119"/>
      <c r="O246" s="117"/>
      <c r="P246" s="117"/>
      <c r="Q246" s="117"/>
      <c r="R246" s="117"/>
      <c r="S246" s="117"/>
      <c r="T246" s="117"/>
      <c r="U246" s="117"/>
      <c r="V246" s="117"/>
      <c r="W246" s="117"/>
      <c r="X246" s="117"/>
      <c r="Z246" s="117"/>
    </row>
    <row r="247" spans="1:26" hidden="1" x14ac:dyDescent="0.3">
      <c r="A247" s="87"/>
      <c r="B247" s="87"/>
      <c r="C247" s="87"/>
      <c r="D247" s="87"/>
      <c r="E247" s="87"/>
      <c r="F247" s="87"/>
      <c r="G247" s="88"/>
      <c r="N247" s="119"/>
      <c r="O247" s="117"/>
      <c r="P247" s="117"/>
      <c r="Q247" s="117"/>
      <c r="R247" s="117"/>
      <c r="S247" s="117"/>
      <c r="T247" s="117"/>
      <c r="U247" s="117"/>
      <c r="V247" s="117"/>
      <c r="W247" s="117"/>
      <c r="X247" s="117"/>
      <c r="Z247" s="117"/>
    </row>
    <row r="248" spans="1:26" hidden="1" x14ac:dyDescent="0.3">
      <c r="A248" s="87"/>
      <c r="B248" s="87"/>
      <c r="C248" s="87"/>
      <c r="D248" s="87"/>
      <c r="E248" s="87"/>
      <c r="F248" s="87"/>
      <c r="G248" s="88"/>
      <c r="N248" s="119"/>
      <c r="O248" s="117"/>
      <c r="P248" s="117"/>
      <c r="Q248" s="117"/>
      <c r="R248" s="117"/>
      <c r="S248" s="117"/>
      <c r="T248" s="117"/>
      <c r="U248" s="117"/>
      <c r="V248" s="117"/>
      <c r="W248" s="117"/>
      <c r="X248" s="117"/>
      <c r="Z248" s="117"/>
    </row>
    <row r="249" spans="1:26" hidden="1" x14ac:dyDescent="0.3">
      <c r="A249" s="87"/>
      <c r="B249" s="87"/>
      <c r="C249" s="87"/>
      <c r="D249" s="87"/>
      <c r="E249" s="87"/>
      <c r="F249" s="87"/>
      <c r="G249" s="88"/>
      <c r="N249" s="119"/>
      <c r="O249" s="117"/>
      <c r="P249" s="117"/>
      <c r="Q249" s="117"/>
      <c r="R249" s="117"/>
      <c r="S249" s="117"/>
      <c r="T249" s="117"/>
      <c r="U249" s="117"/>
      <c r="V249" s="117"/>
      <c r="W249" s="117"/>
      <c r="X249" s="117"/>
      <c r="Z249" s="117"/>
    </row>
    <row r="250" spans="1:26" hidden="1" x14ac:dyDescent="0.3">
      <c r="A250" s="87"/>
      <c r="B250" s="87"/>
      <c r="C250" s="87"/>
      <c r="D250" s="87"/>
      <c r="E250" s="87"/>
      <c r="F250" s="87"/>
      <c r="G250" s="88"/>
      <c r="N250" s="119"/>
      <c r="O250" s="117"/>
      <c r="P250" s="117"/>
      <c r="Q250" s="117"/>
      <c r="R250" s="117"/>
      <c r="S250" s="117"/>
      <c r="T250" s="117"/>
      <c r="U250" s="117"/>
      <c r="V250" s="117"/>
      <c r="W250" s="117"/>
      <c r="X250" s="117"/>
      <c r="Z250" s="117"/>
    </row>
    <row r="251" spans="1:26" hidden="1" x14ac:dyDescent="0.3">
      <c r="A251" s="87"/>
      <c r="B251" s="87"/>
      <c r="C251" s="87"/>
      <c r="D251" s="87"/>
      <c r="E251" s="87"/>
      <c r="F251" s="87"/>
      <c r="G251" s="88"/>
      <c r="N251" s="119"/>
      <c r="O251" s="117"/>
      <c r="P251" s="117"/>
      <c r="Q251" s="117"/>
      <c r="R251" s="117"/>
      <c r="S251" s="117"/>
      <c r="T251" s="117"/>
      <c r="U251" s="117"/>
      <c r="V251" s="117"/>
      <c r="W251" s="117"/>
      <c r="X251" s="117"/>
      <c r="Z251" s="117"/>
    </row>
    <row r="252" spans="1:26" hidden="1" x14ac:dyDescent="0.3">
      <c r="A252" s="87"/>
      <c r="B252" s="87"/>
      <c r="C252" s="87"/>
      <c r="D252" s="87"/>
      <c r="E252" s="87"/>
      <c r="F252" s="87"/>
      <c r="G252" s="88"/>
      <c r="N252" s="119"/>
      <c r="O252" s="117"/>
      <c r="P252" s="117"/>
      <c r="Q252" s="117"/>
      <c r="R252" s="117"/>
      <c r="S252" s="117"/>
      <c r="T252" s="117"/>
      <c r="U252" s="117"/>
      <c r="V252" s="117"/>
      <c r="W252" s="117"/>
      <c r="X252" s="117"/>
      <c r="Z252" s="117"/>
    </row>
    <row r="253" spans="1:26" hidden="1" x14ac:dyDescent="0.3">
      <c r="A253" s="87"/>
      <c r="B253" s="87"/>
      <c r="C253" s="87"/>
      <c r="D253" s="87"/>
      <c r="E253" s="87"/>
      <c r="F253" s="87"/>
      <c r="G253" s="88"/>
      <c r="N253" s="119"/>
      <c r="O253" s="117"/>
      <c r="P253" s="117"/>
      <c r="Q253" s="117"/>
      <c r="R253" s="117"/>
      <c r="S253" s="117"/>
      <c r="T253" s="117"/>
      <c r="U253" s="117"/>
      <c r="V253" s="117"/>
      <c r="W253" s="117"/>
      <c r="X253" s="117"/>
      <c r="Z253" s="117"/>
    </row>
    <row r="254" spans="1:26" hidden="1" x14ac:dyDescent="0.3">
      <c r="A254" s="87"/>
      <c r="B254" s="87"/>
      <c r="C254" s="87"/>
      <c r="D254" s="87"/>
      <c r="E254" s="87"/>
      <c r="F254" s="87"/>
      <c r="G254" s="88"/>
      <c r="N254" s="119"/>
      <c r="O254" s="117"/>
      <c r="P254" s="117"/>
      <c r="Q254" s="117"/>
      <c r="R254" s="117"/>
      <c r="S254" s="117"/>
      <c r="T254" s="117"/>
      <c r="U254" s="117"/>
      <c r="V254" s="117"/>
      <c r="W254" s="117"/>
      <c r="X254" s="117"/>
      <c r="Z254" s="117"/>
    </row>
    <row r="255" spans="1:26" hidden="1" x14ac:dyDescent="0.3">
      <c r="A255" s="87"/>
      <c r="B255" s="87"/>
      <c r="C255" s="87"/>
      <c r="D255" s="87"/>
      <c r="E255" s="87"/>
      <c r="F255" s="87"/>
      <c r="G255" s="88"/>
      <c r="N255" s="119"/>
      <c r="O255" s="117"/>
      <c r="P255" s="117"/>
      <c r="Q255" s="117"/>
      <c r="R255" s="117"/>
      <c r="S255" s="117"/>
      <c r="T255" s="117"/>
      <c r="U255" s="117"/>
      <c r="V255" s="117"/>
      <c r="W255" s="117"/>
      <c r="X255" s="117"/>
      <c r="Z255" s="117"/>
    </row>
    <row r="256" spans="1:26" hidden="1" x14ac:dyDescent="0.3">
      <c r="A256" s="87"/>
      <c r="B256" s="87"/>
      <c r="C256" s="87"/>
      <c r="D256" s="87"/>
      <c r="E256" s="87"/>
      <c r="F256" s="87"/>
      <c r="G256" s="88"/>
      <c r="U256" s="117"/>
      <c r="V256" s="117"/>
      <c r="W256" s="117"/>
      <c r="X256" s="117"/>
      <c r="Z256" s="117"/>
    </row>
    <row r="257" spans="1:26" hidden="1" x14ac:dyDescent="0.3">
      <c r="A257" s="87"/>
      <c r="B257" s="87"/>
      <c r="C257" s="87"/>
      <c r="D257" s="87"/>
      <c r="E257" s="87"/>
      <c r="F257" s="87"/>
      <c r="G257" s="88"/>
      <c r="U257" s="117"/>
      <c r="V257" s="117"/>
      <c r="W257" s="117"/>
      <c r="X257" s="117"/>
      <c r="Z257" s="117"/>
    </row>
    <row r="258" spans="1:26" hidden="1" x14ac:dyDescent="0.3">
      <c r="A258" s="87"/>
      <c r="B258" s="87"/>
      <c r="C258" s="87"/>
      <c r="D258" s="87"/>
      <c r="E258" s="87"/>
      <c r="F258" s="87"/>
      <c r="G258" s="88"/>
      <c r="U258" s="117"/>
      <c r="V258" s="117"/>
      <c r="W258" s="117"/>
      <c r="X258" s="117"/>
      <c r="Z258" s="117"/>
    </row>
    <row r="259" spans="1:26" hidden="1" x14ac:dyDescent="0.3">
      <c r="A259" s="87"/>
      <c r="B259" s="87"/>
      <c r="C259" s="87"/>
      <c r="D259" s="87"/>
      <c r="E259" s="87"/>
      <c r="F259" s="87"/>
      <c r="G259" s="88"/>
    </row>
    <row r="260" spans="1:26" hidden="1" x14ac:dyDescent="0.3">
      <c r="A260" s="87"/>
      <c r="B260" s="87"/>
      <c r="C260" s="87"/>
      <c r="D260" s="87"/>
      <c r="E260" s="87"/>
      <c r="F260" s="87"/>
      <c r="G260" s="88"/>
    </row>
    <row r="261" spans="1:26" hidden="1" x14ac:dyDescent="0.3">
      <c r="A261" s="87"/>
      <c r="B261" s="87"/>
      <c r="C261" s="87"/>
      <c r="D261" s="87"/>
      <c r="E261" s="87"/>
      <c r="F261" s="87"/>
      <c r="G261" s="88"/>
    </row>
    <row r="262" spans="1:26" hidden="1" x14ac:dyDescent="0.3">
      <c r="A262" s="87"/>
      <c r="B262" s="87"/>
      <c r="C262" s="87"/>
      <c r="D262" s="87"/>
      <c r="E262" s="87"/>
      <c r="F262" s="87"/>
      <c r="G262" s="88"/>
    </row>
    <row r="263" spans="1:26" hidden="1" x14ac:dyDescent="0.3">
      <c r="A263" s="87"/>
      <c r="B263" s="87"/>
      <c r="C263" s="87"/>
      <c r="D263" s="87"/>
      <c r="E263" s="87"/>
      <c r="F263" s="87"/>
      <c r="G263" s="88"/>
    </row>
    <row r="264" spans="1:26" hidden="1" x14ac:dyDescent="0.3">
      <c r="A264" s="87"/>
      <c r="B264" s="87"/>
      <c r="C264" s="87"/>
      <c r="D264" s="87"/>
      <c r="E264" s="87"/>
      <c r="F264" s="87"/>
      <c r="G264" s="88"/>
    </row>
    <row r="265" spans="1:26" hidden="1" x14ac:dyDescent="0.3">
      <c r="A265" s="87"/>
      <c r="B265" s="87"/>
      <c r="C265" s="87"/>
      <c r="D265" s="87"/>
      <c r="E265" s="87"/>
      <c r="F265" s="87"/>
      <c r="G265" s="88"/>
    </row>
    <row r="266" spans="1:26" hidden="1" x14ac:dyDescent="0.3">
      <c r="A266" s="87"/>
      <c r="B266" s="87"/>
      <c r="C266" s="87"/>
      <c r="D266" s="87"/>
      <c r="E266" s="87"/>
      <c r="F266" s="87"/>
      <c r="G266" s="88"/>
    </row>
    <row r="267" spans="1:26" hidden="1" x14ac:dyDescent="0.3">
      <c r="A267" s="87"/>
      <c r="B267" s="87"/>
      <c r="C267" s="87"/>
      <c r="D267" s="87"/>
      <c r="E267" s="87"/>
      <c r="F267" s="87"/>
      <c r="G267" s="88"/>
    </row>
    <row r="268" spans="1:26" hidden="1" x14ac:dyDescent="0.3">
      <c r="A268" s="87"/>
      <c r="B268" s="87"/>
      <c r="C268" s="87"/>
      <c r="D268" s="87"/>
      <c r="E268" s="87"/>
      <c r="F268" s="87"/>
      <c r="G268" s="88"/>
    </row>
    <row r="269" spans="1:26" hidden="1" x14ac:dyDescent="0.3">
      <c r="A269" s="87"/>
      <c r="B269" s="87"/>
      <c r="C269" s="87"/>
      <c r="D269" s="87"/>
      <c r="E269" s="87"/>
      <c r="F269" s="87"/>
      <c r="G269" s="88"/>
    </row>
    <row r="270" spans="1:26" hidden="1" x14ac:dyDescent="0.3">
      <c r="A270" s="87"/>
      <c r="B270" s="87"/>
      <c r="C270" s="87"/>
      <c r="D270" s="87"/>
      <c r="E270" s="87"/>
      <c r="F270" s="87"/>
      <c r="G270" s="88"/>
    </row>
    <row r="271" spans="1:26" hidden="1" x14ac:dyDescent="0.3">
      <c r="A271" s="87"/>
      <c r="B271" s="87"/>
      <c r="C271" s="87"/>
      <c r="D271" s="87"/>
      <c r="E271" s="87"/>
      <c r="F271" s="87"/>
      <c r="G271" s="88"/>
    </row>
    <row r="272" spans="1:26" hidden="1" x14ac:dyDescent="0.3">
      <c r="A272" s="87"/>
      <c r="B272" s="87"/>
      <c r="C272" s="87"/>
      <c r="D272" s="87"/>
      <c r="E272" s="87"/>
      <c r="F272" s="87"/>
      <c r="G272" s="88"/>
    </row>
    <row r="273" spans="1:7" hidden="1" x14ac:dyDescent="0.3">
      <c r="A273" s="87"/>
      <c r="B273" s="87"/>
      <c r="C273" s="87"/>
      <c r="D273" s="87"/>
      <c r="E273" s="87"/>
      <c r="F273" s="87"/>
      <c r="G273" s="88"/>
    </row>
    <row r="274" spans="1:7" hidden="1" x14ac:dyDescent="0.3">
      <c r="A274" s="87"/>
      <c r="B274" s="87"/>
      <c r="C274" s="87"/>
      <c r="D274" s="87"/>
      <c r="E274" s="87"/>
      <c r="F274" s="87"/>
      <c r="G274" s="88"/>
    </row>
    <row r="275" spans="1:7" hidden="1" x14ac:dyDescent="0.3">
      <c r="A275" s="87"/>
      <c r="B275" s="87"/>
      <c r="C275" s="87"/>
      <c r="D275" s="87"/>
      <c r="E275" s="87"/>
      <c r="F275" s="87"/>
      <c r="G275" s="88"/>
    </row>
    <row r="276" spans="1:7" hidden="1" x14ac:dyDescent="0.3">
      <c r="A276" s="87"/>
      <c r="B276" s="87"/>
      <c r="C276" s="87"/>
      <c r="D276" s="87"/>
      <c r="E276" s="87"/>
      <c r="F276" s="87"/>
      <c r="G276" s="88"/>
    </row>
    <row r="277" spans="1:7" hidden="1" x14ac:dyDescent="0.3">
      <c r="A277" s="87"/>
      <c r="B277" s="87"/>
      <c r="C277" s="87"/>
      <c r="D277" s="87"/>
      <c r="E277" s="87"/>
      <c r="F277" s="87"/>
      <c r="G277" s="88"/>
    </row>
    <row r="278" spans="1:7" hidden="1" x14ac:dyDescent="0.3">
      <c r="A278" s="87"/>
      <c r="B278" s="87"/>
      <c r="C278" s="87"/>
      <c r="D278" s="87"/>
      <c r="E278" s="87"/>
      <c r="F278" s="87"/>
      <c r="G278" s="88"/>
    </row>
    <row r="279" spans="1:7" hidden="1" x14ac:dyDescent="0.3">
      <c r="A279" s="87"/>
      <c r="B279" s="87"/>
      <c r="C279" s="87"/>
      <c r="D279" s="87"/>
      <c r="E279" s="87"/>
      <c r="F279" s="87"/>
      <c r="G279" s="88"/>
    </row>
    <row r="280" spans="1:7" hidden="1" x14ac:dyDescent="0.3">
      <c r="A280" s="87"/>
      <c r="B280" s="87"/>
      <c r="C280" s="87"/>
      <c r="D280" s="87"/>
      <c r="E280" s="87"/>
      <c r="F280" s="87"/>
      <c r="G280" s="88"/>
    </row>
    <row r="281" spans="1:7" hidden="1" x14ac:dyDescent="0.3">
      <c r="A281" s="87"/>
      <c r="B281" s="87"/>
      <c r="C281" s="87"/>
      <c r="D281" s="87"/>
      <c r="E281" s="87"/>
      <c r="F281" s="87"/>
      <c r="G281" s="88"/>
    </row>
    <row r="282" spans="1:7" hidden="1" x14ac:dyDescent="0.3">
      <c r="A282" s="87"/>
      <c r="B282" s="87"/>
      <c r="C282" s="87"/>
      <c r="D282" s="87"/>
      <c r="E282" s="87"/>
      <c r="F282" s="87"/>
      <c r="G282" s="88"/>
    </row>
  </sheetData>
  <sheetProtection algorithmName="SHA-512" hashValue="W2IjQ1PmrtXLWb5yW9M+I173G0QwoZHgI0y6mPuox1lyMaC9acQ5q2QaCjMpMckgAweh2IyZ+w3HWWqBFg/S8w==" saltValue="jU6CPRFGt/veBAXtBsGKzw==" spinCount="100000" sheet="1" objects="1" scenarios="1"/>
  <mergeCells count="26">
    <mergeCell ref="C6:D6"/>
    <mergeCell ref="C8:D8"/>
    <mergeCell ref="C10:D10"/>
    <mergeCell ref="H59:M61"/>
    <mergeCell ref="H56:M57"/>
    <mergeCell ref="C17:E17"/>
    <mergeCell ref="C18:E18"/>
    <mergeCell ref="H15:O16"/>
    <mergeCell ref="C16:E16"/>
    <mergeCell ref="C19:E19"/>
    <mergeCell ref="C13:D13"/>
    <mergeCell ref="J11:M12"/>
    <mergeCell ref="H14:M14"/>
    <mergeCell ref="C20:E20"/>
    <mergeCell ref="H20:O20"/>
    <mergeCell ref="H75:M76"/>
    <mergeCell ref="H34:M36"/>
    <mergeCell ref="C21:E21"/>
    <mergeCell ref="H21:O21"/>
    <mergeCell ref="H28:M30"/>
    <mergeCell ref="B31:B32"/>
    <mergeCell ref="H37:M39"/>
    <mergeCell ref="H22:M22"/>
    <mergeCell ref="B34:B35"/>
    <mergeCell ref="H47:M48"/>
    <mergeCell ref="B37:B38"/>
  </mergeCells>
  <conditionalFormatting sqref="B42:B47 B49:B50 C50:D50">
    <cfRule type="expression" dxfId="316" priority="168" stopIfTrue="1">
      <formula>E42="n/a"</formula>
    </cfRule>
  </conditionalFormatting>
  <conditionalFormatting sqref="B52:B54 D52:D54">
    <cfRule type="expression" dxfId="315" priority="139" stopIfTrue="1">
      <formula>E52="n/a"</formula>
    </cfRule>
    <cfRule type="expression" dxfId="314" priority="140" stopIfTrue="1">
      <formula>$F$20="no"</formula>
    </cfRule>
  </conditionalFormatting>
  <conditionalFormatting sqref="B56">
    <cfRule type="expression" dxfId="313" priority="150" stopIfTrue="1">
      <formula>$F$20="No"</formula>
    </cfRule>
  </conditionalFormatting>
  <conditionalFormatting sqref="B57">
    <cfRule type="expression" dxfId="312" priority="12" stopIfTrue="1">
      <formula>$F$20="No"</formula>
    </cfRule>
  </conditionalFormatting>
  <conditionalFormatting sqref="B88">
    <cfRule type="expression" dxfId="311" priority="261" stopIfTrue="1">
      <formula>OR($G$83=$Q$132,$G$83=$Q$131,$G$83=$Q$129,$G$85=$S$129)</formula>
    </cfRule>
    <cfRule type="expression" dxfId="310" priority="262" stopIfTrue="1">
      <formula>$G$85=$S$131</formula>
    </cfRule>
  </conditionalFormatting>
  <conditionalFormatting sqref="C13 E13:G13">
    <cfRule type="expression" dxfId="309" priority="265" stopIfTrue="1">
      <formula>OR($B$13=$R$134,$B$13="")</formula>
    </cfRule>
  </conditionalFormatting>
  <conditionalFormatting sqref="C14 E14:G14">
    <cfRule type="expression" dxfId="308" priority="269" stopIfTrue="1">
      <formula>OR($B$13=$R$134,$B$13=$R$136,$B$13="")</formula>
    </cfRule>
  </conditionalFormatting>
  <conditionalFormatting sqref="C22">
    <cfRule type="expression" dxfId="307" priority="274" stopIfTrue="1">
      <formula>AND($B$13=$R$135,$F$20=$Q$130)</formula>
    </cfRule>
  </conditionalFormatting>
  <conditionalFormatting sqref="C42:C47 C49 N49:N50 G50">
    <cfRule type="expression" dxfId="306" priority="167" stopIfTrue="1">
      <formula>E42="n/a"</formula>
    </cfRule>
  </conditionalFormatting>
  <conditionalFormatting sqref="C52:C54 G52:G54 C56:C57">
    <cfRule type="expression" dxfId="305" priority="138" stopIfTrue="1">
      <formula>$F$20="no"</formula>
    </cfRule>
  </conditionalFormatting>
  <conditionalFormatting sqref="C67">
    <cfRule type="expression" dxfId="304" priority="190" stopIfTrue="1">
      <formula>(OR($G$64=$Q$132,$G$64=$Q$131,$G$64=$Q$129))</formula>
    </cfRule>
  </conditionalFormatting>
  <conditionalFormatting sqref="C71 D71:E72">
    <cfRule type="expression" dxfId="303" priority="192" stopIfTrue="1">
      <formula>$F$20=$Q$131</formula>
    </cfRule>
  </conditionalFormatting>
  <conditionalFormatting sqref="C72">
    <cfRule type="expression" dxfId="302" priority="225" stopIfTrue="1">
      <formula>$F$20=$Q$131</formula>
    </cfRule>
  </conditionalFormatting>
  <conditionalFormatting sqref="C31:G31 B31:B32 C32:D32 C34:G34 B34:B35 C35:D35 C37:G37 B37:B38 C38">
    <cfRule type="expression" dxfId="301" priority="199" stopIfTrue="1">
      <formula>$B$27=$R$131</formula>
    </cfRule>
  </conditionalFormatting>
  <conditionalFormatting sqref="C88:G88">
    <cfRule type="expression" dxfId="300" priority="264" stopIfTrue="1">
      <formula>OR($G$83=$Q$132,$G$83=$Q$131,$G$83=$Q$129,$G$85=$S$129)</formula>
    </cfRule>
    <cfRule type="expression" dxfId="299" priority="263" stopIfTrue="1">
      <formula>$G$85=$S$131</formula>
    </cfRule>
  </conditionalFormatting>
  <conditionalFormatting sqref="D14">
    <cfRule type="expression" dxfId="298" priority="271" stopIfTrue="1">
      <formula>OR($B$13=$R$134,$B$13=$R$136,$B$13="")</formula>
    </cfRule>
  </conditionalFormatting>
  <conditionalFormatting sqref="D38">
    <cfRule type="expression" dxfId="297" priority="195" stopIfTrue="1">
      <formula>OR($D$37=$P$131,$D$37=$P$129)</formula>
    </cfRule>
  </conditionalFormatting>
  <conditionalFormatting sqref="D42:D47 D49">
    <cfRule type="expression" dxfId="296" priority="166" stopIfTrue="1">
      <formula>E42="n/a"</formula>
    </cfRule>
  </conditionalFormatting>
  <conditionalFormatting sqref="D55">
    <cfRule type="expression" dxfId="295" priority="145" stopIfTrue="1">
      <formula>E55="n/a"</formula>
    </cfRule>
    <cfRule type="expression" dxfId="294" priority="146" stopIfTrue="1">
      <formula>$F$20="No"</formula>
    </cfRule>
  </conditionalFormatting>
  <conditionalFormatting sqref="D67">
    <cfRule type="expression" dxfId="293" priority="209" stopIfTrue="1">
      <formula>(OR($G$64=$Q$132,$G$64=$Q$131,$G$64=$Q$129))</formula>
    </cfRule>
  </conditionalFormatting>
  <conditionalFormatting sqref="D100">
    <cfRule type="expression" dxfId="292" priority="246" stopIfTrue="1">
      <formula>AND((OR($G$83=$Q$131,$G$83=$Q$132,$G$83=$Q$129)),(OR($G$64=$Q$131,$G$64=$Q$132,$G$64=$Q$129)))</formula>
    </cfRule>
    <cfRule type="expression" dxfId="291" priority="245" stopIfTrue="1">
      <formula>B27=R131</formula>
    </cfRule>
  </conditionalFormatting>
  <conditionalFormatting sqref="D22:E22">
    <cfRule type="expression" dxfId="290" priority="273" stopIfTrue="1">
      <formula>AND($B$13=$R$135,$F$20=$Q$130)</formula>
    </cfRule>
  </conditionalFormatting>
  <conditionalFormatting sqref="D67:E67 C68:E74 C76:G76">
    <cfRule type="expression" dxfId="289" priority="182" stopIfTrue="1">
      <formula>(OR($G$64=$Q$132,$G$64=$Q$131,$G$64=$Q$129))</formula>
    </cfRule>
  </conditionalFormatting>
  <conditionalFormatting sqref="D56:G57">
    <cfRule type="expression" dxfId="288" priority="6" stopIfTrue="1">
      <formula>$F$20="No"</formula>
    </cfRule>
  </conditionalFormatting>
  <conditionalFormatting sqref="E42:E47 E49:E50">
    <cfRule type="expression" dxfId="287" priority="151" stopIfTrue="1">
      <formula>E42="n/a"</formula>
    </cfRule>
  </conditionalFormatting>
  <conditionalFormatting sqref="E52:E54">
    <cfRule type="expression" dxfId="286" priority="131" stopIfTrue="1">
      <formula>#REF!="n/a"</formula>
    </cfRule>
    <cfRule type="expression" dxfId="285" priority="132" stopIfTrue="1">
      <formula>$F$20="no"</formula>
    </cfRule>
  </conditionalFormatting>
  <conditionalFormatting sqref="E55">
    <cfRule type="expression" dxfId="284" priority="133" stopIfTrue="1">
      <formula>E55="n/a"</formula>
    </cfRule>
    <cfRule type="expression" dxfId="283" priority="134" stopIfTrue="1">
      <formula>$F$20="No"</formula>
    </cfRule>
  </conditionalFormatting>
  <conditionalFormatting sqref="E100">
    <cfRule type="expression" dxfId="282" priority="247" stopIfTrue="1">
      <formula>B27=R131</formula>
    </cfRule>
    <cfRule type="expression" dxfId="281" priority="248" stopIfTrue="1">
      <formula>AND((OR($G$83=$Q$131,$G$83=$Q$132,$G$83=$Q$129)),(OR($G$64=$Q$131,$G$64=$Q$132,$G$64=$Q$129)))</formula>
    </cfRule>
  </conditionalFormatting>
  <conditionalFormatting sqref="F22">
    <cfRule type="expression" dxfId="280" priority="272" stopIfTrue="1">
      <formula>AND($B$13=$R$135,$F$20=$Q$130)</formula>
    </cfRule>
  </conditionalFormatting>
  <conditionalFormatting sqref="F42:F47 F49:F50 R49:R50">
    <cfRule type="expression" dxfId="279" priority="164" stopIfTrue="1">
      <formula>E42="n/a"</formula>
    </cfRule>
  </conditionalFormatting>
  <conditionalFormatting sqref="F52:F54">
    <cfRule type="expression" dxfId="278" priority="136" stopIfTrue="1">
      <formula>$F$20="no"</formula>
    </cfRule>
  </conditionalFormatting>
  <conditionalFormatting sqref="F52:F55">
    <cfRule type="expression" dxfId="277" priority="135" stopIfTrue="1">
      <formula>E52="n/a"</formula>
    </cfRule>
  </conditionalFormatting>
  <conditionalFormatting sqref="F67:F70 F73:F74">
    <cfRule type="expression" dxfId="276" priority="210" stopIfTrue="1">
      <formula>E67=$Q$131</formula>
    </cfRule>
  </conditionalFormatting>
  <conditionalFormatting sqref="F67:F70 F73:G74">
    <cfRule type="expression" dxfId="275" priority="211" stopIfTrue="1">
      <formula>(OR($G$64=$Q$132,$G$64=$Q$131,$G$64=$Q$129))</formula>
    </cfRule>
  </conditionalFormatting>
  <conditionalFormatting sqref="F71">
    <cfRule type="expression" dxfId="274" priority="216" stopIfTrue="1">
      <formula>E71=$Q$131</formula>
    </cfRule>
    <cfRule type="expression" dxfId="273" priority="214" stopIfTrue="1">
      <formula>$F$20=$Q$131</formula>
    </cfRule>
  </conditionalFormatting>
  <conditionalFormatting sqref="F71:F72">
    <cfRule type="expression" dxfId="272" priority="215" stopIfTrue="1">
      <formula>(OR($G$64=$Q$132,$G$64=$Q$131,$G$64=$Q$129))</formula>
    </cfRule>
  </conditionalFormatting>
  <conditionalFormatting sqref="F72">
    <cfRule type="expression" dxfId="271" priority="227" stopIfTrue="1">
      <formula>E70=$Q$131</formula>
    </cfRule>
    <cfRule type="expression" dxfId="270" priority="228" stopIfTrue="1">
      <formula>$F$20=$Q$131</formula>
    </cfRule>
  </conditionalFormatting>
  <conditionalFormatting sqref="F91">
    <cfRule type="expression" dxfId="269" priority="258" stopIfTrue="1">
      <formula>OR($G$83=$Q$132,$G$83=$Q$131,$G$83=$Q$129,$G$85=$S$129)</formula>
    </cfRule>
    <cfRule type="expression" dxfId="268" priority="259" stopIfTrue="1">
      <formula>$G$85=$S$130</formula>
    </cfRule>
    <cfRule type="expression" dxfId="267" priority="260" stopIfTrue="1">
      <formula>OR($G$83=$Q$132,$G$83=$Q$131,$G$85=$S$129)</formula>
    </cfRule>
  </conditionalFormatting>
  <conditionalFormatting sqref="F99">
    <cfRule type="expression" dxfId="266" priority="242" stopIfTrue="1">
      <formula>$E$99=$Q$131</formula>
    </cfRule>
  </conditionalFormatting>
  <conditionalFormatting sqref="F100">
    <cfRule type="expression" dxfId="265" priority="171" stopIfTrue="1">
      <formula>$E$100=$Q$131</formula>
    </cfRule>
    <cfRule type="expression" dxfId="264" priority="170" stopIfTrue="1">
      <formula>AND((OR($G$83=$Q$131,$G$83=$Q$132,$G$83=$Q$129)),(OR($G$64=$Q$131,$G$64=$Q$132,$G$64=$Q$129)))</formula>
    </cfRule>
    <cfRule type="expression" dxfId="263" priority="169" stopIfTrue="1">
      <formula>B27=R131</formula>
    </cfRule>
  </conditionalFormatting>
  <conditionalFormatting sqref="F55:G55">
    <cfRule type="expression" dxfId="262" priority="142" stopIfTrue="1">
      <formula>$F$20="No"</formula>
    </cfRule>
  </conditionalFormatting>
  <conditionalFormatting sqref="G16">
    <cfRule type="expression" dxfId="261" priority="197" stopIfTrue="1">
      <formula>AND(OR($F$16=$Q$131,$F$16=$Q$129),$G$16&gt;0)</formula>
    </cfRule>
    <cfRule type="expression" dxfId="260" priority="5" stopIfTrue="1">
      <formula>$F$16=$Q$130</formula>
    </cfRule>
  </conditionalFormatting>
  <conditionalFormatting sqref="G17">
    <cfRule type="expression" dxfId="259" priority="266" stopIfTrue="1">
      <formula>$F$17=$Q$130</formula>
    </cfRule>
    <cfRule type="expression" dxfId="258" priority="4" stopIfTrue="1">
      <formula>AND(OR($F$17=$Q$131,$F$17=$Q$129),$G$17&gt;0)</formula>
    </cfRule>
  </conditionalFormatting>
  <conditionalFormatting sqref="G18">
    <cfRule type="expression" dxfId="257" priority="267" stopIfTrue="1">
      <formula>AND(OR($F$18=$Q$131,$F$18=$Q$129),$G$18&gt;0)</formula>
    </cfRule>
    <cfRule type="expression" dxfId="256" priority="3" stopIfTrue="1">
      <formula>$F$18=Q130</formula>
    </cfRule>
  </conditionalFormatting>
  <conditionalFormatting sqref="G19">
    <cfRule type="expression" dxfId="255" priority="196" stopIfTrue="1">
      <formula>AND(OR($F$19=$Q$131,$F$19=$Q$129),$G$19&gt;0)</formula>
    </cfRule>
    <cfRule type="expression" dxfId="254" priority="2" stopIfTrue="1">
      <formula>$F$19=$Q$130</formula>
    </cfRule>
  </conditionalFormatting>
  <conditionalFormatting sqref="G20">
    <cfRule type="expression" dxfId="253" priority="1" stopIfTrue="1">
      <formula>$F$20=$Q$130</formula>
    </cfRule>
    <cfRule type="expression" dxfId="252" priority="198" stopIfTrue="1">
      <formula>AND(OR($F$20=$Q$131,$F$20=$Q$129),$G$20&gt;0)</formula>
    </cfRule>
  </conditionalFormatting>
  <conditionalFormatting sqref="G22">
    <cfRule type="expression" dxfId="251" priority="276" stopIfTrue="1">
      <formula>AND($B$13=$R$135,$F$20=$Q$130)</formula>
    </cfRule>
    <cfRule type="expression" dxfId="250" priority="275" stopIfTrue="1">
      <formula>AND(Ind_act=R136,F20=Q130,G22=Q130)</formula>
    </cfRule>
  </conditionalFormatting>
  <conditionalFormatting sqref="G42:G47 G49">
    <cfRule type="expression" dxfId="249" priority="165" stopIfTrue="1">
      <formula>E42="n/a"</formula>
    </cfRule>
  </conditionalFormatting>
  <conditionalFormatting sqref="G52:G54 C52:C57">
    <cfRule type="expression" dxfId="248" priority="137" stopIfTrue="1">
      <formula>E52="n/a"</formula>
    </cfRule>
  </conditionalFormatting>
  <conditionalFormatting sqref="G55">
    <cfRule type="expression" dxfId="247" priority="141" stopIfTrue="1">
      <formula>E55="n/a"</formula>
    </cfRule>
  </conditionalFormatting>
  <conditionalFormatting sqref="G67:G70 G73:G74">
    <cfRule type="expression" dxfId="246" priority="218" stopIfTrue="1">
      <formula>E67=$Q$131</formula>
    </cfRule>
  </conditionalFormatting>
  <conditionalFormatting sqref="G67:G71">
    <cfRule type="expression" dxfId="245" priority="217" stopIfTrue="1">
      <formula>(OR($G$64=$Q$132,$G$64=$Q$131,$G$64=$Q$129))</formula>
    </cfRule>
  </conditionalFormatting>
  <conditionalFormatting sqref="G71">
    <cfRule type="expression" dxfId="244" priority="222" stopIfTrue="1">
      <formula>$F$20=$Q$131</formula>
    </cfRule>
    <cfRule type="expression" dxfId="243" priority="223" stopIfTrue="1">
      <formula>E71=$Q$131</formula>
    </cfRule>
  </conditionalFormatting>
  <conditionalFormatting sqref="G72">
    <cfRule type="expression" dxfId="242" priority="229" stopIfTrue="1">
      <formula>E70=$Q$131</formula>
    </cfRule>
    <cfRule type="expression" dxfId="241" priority="230" stopIfTrue="1">
      <formula>$F$20=$Q$131</formula>
    </cfRule>
    <cfRule type="expression" dxfId="240" priority="231" stopIfTrue="1">
      <formula>(OR($G$64=$Q$132,$G$64=$Q$131,$G$64=$Q$129))</formula>
    </cfRule>
  </conditionalFormatting>
  <conditionalFormatting sqref="G85">
    <cfRule type="expression" dxfId="239" priority="189" stopIfTrue="1">
      <formula>OR($G$83=$Q$132,$G$83=$Q$131,$G$83=$Q$129)</formula>
    </cfRule>
  </conditionalFormatting>
  <conditionalFormatting sqref="G91">
    <cfRule type="expression" dxfId="238" priority="255" stopIfTrue="1">
      <formula>OR($G$83=$Q$132,$G$83=$Q$131,$G$85=$S$129)</formula>
    </cfRule>
    <cfRule type="expression" dxfId="237" priority="256" stopIfTrue="1">
      <formula>$G$85=$S$130</formula>
    </cfRule>
    <cfRule type="expression" dxfId="236" priority="257" stopIfTrue="1">
      <formula>OR($G$83=$Q$132,$G$83=$Q$131,$G$83=$Q$129,$G$85=$S$129)</formula>
    </cfRule>
  </conditionalFormatting>
  <conditionalFormatting sqref="G96 D99:F99 G102 D104:G104 D107:F107 G112">
    <cfRule type="expression" dxfId="235" priority="235" stopIfTrue="1">
      <formula>AND((OR($G$83=$Q$131,$G$83=$Q$132,$G$83=$Q$129)),(OR($G$64=$Q$131,$G$64=$Q$132,$G$64=$Q$129)))</formula>
    </cfRule>
  </conditionalFormatting>
  <conditionalFormatting sqref="G99">
    <cfRule type="expression" dxfId="234" priority="243" stopIfTrue="1">
      <formula>$E$99=$Q$131</formula>
    </cfRule>
    <cfRule type="expression" dxfId="233" priority="244" stopIfTrue="1">
      <formula>AND((OR($G$83=$Q$131,$G$83=$Q$132,$G$83=$Q$129)),(OR($G$64=$Q$131,$G$64=$Q$132,$G$64=$Q$129)))</formula>
    </cfRule>
  </conditionalFormatting>
  <conditionalFormatting sqref="G100">
    <cfRule type="expression" dxfId="232" priority="232" stopIfTrue="1">
      <formula>B27=R131</formula>
    </cfRule>
    <cfRule type="expression" dxfId="231" priority="233" stopIfTrue="1">
      <formula>AND((OR($G$83=$Q$131,$G$83=$Q$132,$G$83=$Q$129)),(OR($G$64=$Q$131,$G$64=$Q$132,$G$64=$Q$129)))</formula>
    </cfRule>
    <cfRule type="expression" dxfId="230" priority="234" stopIfTrue="1">
      <formula>$E$100=$Q$131</formula>
    </cfRule>
  </conditionalFormatting>
  <conditionalFormatting sqref="G106">
    <cfRule type="expression" dxfId="229" priority="249" stopIfTrue="1">
      <formula>AND((OR($G$83=$Q$131,$G$83=$Q$132,$G$83=$Q$129)),(OR($G$64=$Q$131,$G$64=$Q$132,$G$64=$Q$129)))</formula>
    </cfRule>
    <cfRule type="expression" dxfId="228" priority="251" stopIfTrue="1">
      <formula>AND((OR($G$83=$Q$131,$G$83=$Q$132,$G$83=$Q$129)),(OR($G$64=$Q$131,$G$64=$Q$132,$G$64=$Q$129)))</formula>
    </cfRule>
    <cfRule type="expression" dxfId="227" priority="250" stopIfTrue="1">
      <formula>OR($G$104=$Q$129,$G$104=$Q$129)</formula>
    </cfRule>
  </conditionalFormatting>
  <conditionalFormatting sqref="G107">
    <cfRule type="expression" dxfId="226" priority="188" stopIfTrue="1">
      <formula>AND((OR($G$83=$Q$131,$G$83=$Q$132)),(OR($G$64=$Q$131,$G$64=$Q$132)))</formula>
    </cfRule>
    <cfRule type="expression" dxfId="225" priority="187" stopIfTrue="1">
      <formula>$G$106=0</formula>
    </cfRule>
    <cfRule type="expression" dxfId="224" priority="186" stopIfTrue="1">
      <formula>OR($G$104=$Q$131,$G$104=$Q$129)</formula>
    </cfRule>
  </conditionalFormatting>
  <conditionalFormatting sqref="G109">
    <cfRule type="expression" dxfId="223" priority="252" stopIfTrue="1">
      <formula>AND((OR($G$83=$Q$131,$G$83=$Q$132,$G$83=$Q$129)),(OR($G$64=$Q$131,$G$64=$Q$132,$G$64=$Q$129)))</formula>
    </cfRule>
    <cfRule type="expression" dxfId="222" priority="253" stopIfTrue="1">
      <formula>OR($G$104=$Q$129,$G$104=$Q$129)</formula>
    </cfRule>
    <cfRule type="expression" dxfId="221" priority="254" stopIfTrue="1">
      <formula>AND((OR($G$83=$Q$131,$G$83=$Q$132,$G$83=$Q$129)),(OR($G$64=$Q$131,$G$64=$Q$132,$G$64=$Q$129)))</formula>
    </cfRule>
  </conditionalFormatting>
  <conditionalFormatting sqref="H14">
    <cfRule type="expression" dxfId="220" priority="29" stopIfTrue="1">
      <formula>AND($B$13=$AC$12,$G$14&gt;0)</formula>
    </cfRule>
  </conditionalFormatting>
  <dataValidations count="25">
    <dataValidation allowBlank="1" showInputMessage="1" showErrorMessage="1" prompt="Enter the effective flush volume for the WCs specified._x000a__x000a_Important: If component is not specified, leave cell blank i.e. empty of figure._x000a__x000a_Refer to the technical guide for a definition oof effective flush volume and how to calculate it." sqref="D27:D28" xr:uid="{00000000-0002-0000-0800-000000000000}"/>
    <dataValidation allowBlank="1" showInputMessage="1" showErrorMessage="1" prompt="Enter the total number of cisterns specified (at specifed capacity) in building." sqref="E31" xr:uid="{00000000-0002-0000-0800-000001000000}"/>
    <dataValidation allowBlank="1" showInputMessage="1" showErrorMessage="1" prompt="Enter the capacity (in litres) of the cistern specified for supplying water for urinal flushing purposes._x000a__x000a_Important: If component is not specified, leave cell blank i.e. empty of figure." sqref="D31" xr:uid="{00000000-0002-0000-0800-000002000000}"/>
    <dataValidation allowBlank="1" showInputMessage="1" showErrorMessage="1" prompt="Enter the total number of urinal's in the building that use this type of flushing control_x000a__x000a_Where a urinal slab is specified, use a default of one urinal for each 700mm width of urinal slab." sqref="D32" xr:uid="{00000000-0002-0000-0800-000003000000}"/>
    <dataValidation allowBlank="1" showInputMessage="1" showErrorMessage="1" prompt="Enter the total number of urinal's in the building that use this type of flushing control." sqref="D35" xr:uid="{00000000-0002-0000-0800-000004000000}"/>
    <dataValidation allowBlank="1" showInputMessage="1" showErrorMessage="1" prompt="Enter the total number of urinal's in the building that are classed as waterless urinals." sqref="D38" xr:uid="{00000000-0002-0000-0800-000005000000}"/>
    <dataValidation allowBlank="1" showInputMessage="1" showErrorMessage="1" prompt="Enter the relevant specification._x000a__x000a_Important: If component is not specified, leave cell blank i.e. empty of figure." sqref="D42:D46 D49:D50 D52:D54" xr:uid="{00000000-0002-0000-0800-000006000000}"/>
    <dataValidation type="list" showInputMessage="1" showErrorMessage="1" sqref="B27" xr:uid="{00000000-0002-0000-0800-000007000000}">
      <formula1>$R$129:$R$131</formula1>
    </dataValidation>
    <dataValidation type="list" allowBlank="1" showInputMessage="1" showErrorMessage="1" sqref="D37" xr:uid="{00000000-0002-0000-0800-000008000000}">
      <formula1>$P$129:$P$131</formula1>
    </dataValidation>
    <dataValidation type="list" allowBlank="1" showInputMessage="1" showErrorMessage="1" sqref="F99:F100 F67:F72" xr:uid="{00000000-0002-0000-0800-000009000000}">
      <formula1>$T$129:$T$229</formula1>
    </dataValidation>
    <dataValidation type="list" showInputMessage="1" showErrorMessage="1" prompt="Only include greywater collected from the washing machine for other uses e.g. toilet flushing/irrigation. Water re-used within the washing machine i.e. final rinse water used for the pre-wash of the next load should not be counted within this calculation." sqref="E74" xr:uid="{00000000-0002-0000-0800-00000A000000}">
      <formula1>$Q$130:$Q$131</formula1>
    </dataValidation>
    <dataValidation type="list" showInputMessage="1" showErrorMessage="1" prompt="Only include greywater collected from the dishwasher for other uses e.g. toilet flushing/irrigation. Water re-used within the dishwasher i.e. final rinse water used for the pre-wash of the next load should not be counted within this calculation." sqref="E72" xr:uid="{00000000-0002-0000-0800-00000B000000}">
      <formula1>$Q$130:$Q$131</formula1>
    </dataValidation>
    <dataValidation allowBlank="1" showInputMessage="1" showErrorMessage="1" prompt="If frequency of yield occurs every day, then state 1, if every 5 days then state 5 etc." sqref="E76" xr:uid="{00000000-0002-0000-0800-00000C000000}"/>
    <dataValidation type="list" showInputMessage="1" showErrorMessage="1" sqref="G83 G64" xr:uid="{00000000-0002-0000-0800-00000D000000}">
      <formula1>$Q$129:$Q$132</formula1>
    </dataValidation>
    <dataValidation type="list" showInputMessage="1" showErrorMessage="1" sqref="G85" xr:uid="{00000000-0002-0000-0800-00000E000000}">
      <formula1>$S$129:$S$131</formula1>
    </dataValidation>
    <dataValidation allowBlank="1" showInputMessage="1" showErrorMessage="1" prompt="Insert the daily rainfall collected (and therefore used) in litres determined in accordance with BS8515 'Detailed Approach&quot;." sqref="F91" xr:uid="{00000000-0002-0000-0800-00000F000000}"/>
    <dataValidation type="list" allowBlank="1" showInputMessage="1" showErrorMessage="1" sqref="F73:F74" xr:uid="{00000000-0002-0000-0800-000010000000}">
      <formula1>$Y$135:$Y$258</formula1>
    </dataValidation>
    <dataValidation type="list" showInputMessage="1" showErrorMessage="1" sqref="E99:E100 E67:E71 E73" xr:uid="{00000000-0002-0000-0800-000011000000}">
      <formula1>$Q$130:$Q$131</formula1>
    </dataValidation>
    <dataValidation type="list" showInputMessage="1" showErrorMessage="1" sqref="G104 F16:F21" xr:uid="{00000000-0002-0000-0800-000012000000}">
      <formula1>$Q$129:$Q$131</formula1>
    </dataValidation>
    <dataValidation type="list" operator="lessThanOrEqual" allowBlank="1" showInputMessage="1" showErrorMessage="1" sqref="G107" xr:uid="{00000000-0002-0000-0800-000013000000}">
      <formula1>$T$129:$T$229</formula1>
    </dataValidation>
    <dataValidation type="list" allowBlank="1" showInputMessage="1" showErrorMessage="1" sqref="B13" xr:uid="{00000000-0002-0000-0800-000014000000}">
      <formula1>$R$134:$R$136</formula1>
    </dataValidation>
    <dataValidation type="list" allowBlank="1" showInputMessage="1" showErrorMessage="1" sqref="G14" xr:uid="{00000000-0002-0000-0800-000015000000}">
      <formula1>$R$139:$R$144</formula1>
    </dataValidation>
    <dataValidation type="list" allowBlank="1" showInputMessage="1" showErrorMessage="1" sqref="G22" xr:uid="{00000000-0002-0000-0800-000016000000}">
      <formula1>$Q$129:$Q$131</formula1>
    </dataValidation>
    <dataValidation allowBlank="1" showInputMessage="1" showErrorMessage="1" prompt="Enter the litres per flush per bowl._x000a__x000a_Important: If component is not specified, leave cell blank i.e. empty of figure." sqref="D34" xr:uid="{00000000-0002-0000-0800-000017000000}"/>
    <dataValidation type="list" allowBlank="1" showInputMessage="1" showErrorMessage="1" sqref="C10:D10" xr:uid="{00000000-0002-0000-0800-000018000000}">
      <formula1>$R$122:$R$125</formula1>
    </dataValidation>
  </dataValidations>
  <pageMargins left="0.75" right="0.75" top="1" bottom="1" header="0.5" footer="0.5"/>
  <pageSetup paperSize="9" orientation="portrait" r:id="rId1"/>
  <headerFooter alignWithMargins="0"/>
  <ignoredErrors>
    <ignoredError sqref="C13 F13:G13"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EF8B065924204DB359FE13A7942667" ma:contentTypeVersion="19" ma:contentTypeDescription="Create a new document." ma:contentTypeScope="" ma:versionID="93873f8ce84767e6dc19ede6f6f4413d">
  <xsd:schema xmlns:xsd="http://www.w3.org/2001/XMLSchema" xmlns:xs="http://www.w3.org/2001/XMLSchema" xmlns:p="http://schemas.microsoft.com/office/2006/metadata/properties" xmlns:ns2="a43b98f9-8d93-40d5-a079-1bdaa4cbdeaa" xmlns:ns3="e15dd586-3f09-4b79-af84-461bfab37be2" targetNamespace="http://schemas.microsoft.com/office/2006/metadata/properties" ma:root="true" ma:fieldsID="b46e316511f4055178d62306a42e46b6" ns2:_="" ns3:_="">
    <xsd:import namespace="a43b98f9-8d93-40d5-a079-1bdaa4cbdeaa"/>
    <xsd:import namespace="e15dd586-3f09-4b79-af84-461bfab37b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ros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b98f9-8d93-40d5-a079-1bdaa4cb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rose" ma:index="19" nillable="true" ma:displayName="rose" ma:description="djhdhdidh " ma:format="Dropdown" ma:internalName="rose">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162c608-1b84-4ac6-a0c9-e2eda6bf67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5dd586-3f09-4b79-af84-461bfab37be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725d239e-553a-4660-a10d-27853804eb54}" ma:internalName="TaxCatchAll" ma:showField="CatchAllData" ma:web="e15dd586-3f09-4b79-af84-461bfab37b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15dd586-3f09-4b79-af84-461bfab37be2" xsi:nil="true"/>
    <lcf76f155ced4ddcb4097134ff3c332f xmlns="a43b98f9-8d93-40d5-a079-1bdaa4cbdeaa">
      <Terms xmlns="http://schemas.microsoft.com/office/infopath/2007/PartnerControls"/>
    </lcf76f155ced4ddcb4097134ff3c332f>
    <rose xmlns="a43b98f9-8d93-40d5-a079-1bdaa4cbdeaa" xsi:nil="true"/>
    <SharedWithUsers xmlns="e15dd586-3f09-4b79-af84-461bfab37be2">
      <UserInfo>
        <DisplayName/>
        <AccountId xsi:nil="true"/>
        <AccountType/>
      </UserInfo>
    </SharedWithUsers>
  </documentManagement>
</p:properties>
</file>

<file path=customXml/itemProps1.xml><?xml version="1.0" encoding="utf-8"?>
<ds:datastoreItem xmlns:ds="http://schemas.openxmlformats.org/officeDocument/2006/customXml" ds:itemID="{3E87E39F-4FE3-4F9E-8E22-A91A95488AB8}">
  <ds:schemaRefs>
    <ds:schemaRef ds:uri="http://schemas.microsoft.com/sharepoint/v3/contenttype/forms"/>
  </ds:schemaRefs>
</ds:datastoreItem>
</file>

<file path=customXml/itemProps2.xml><?xml version="1.0" encoding="utf-8"?>
<ds:datastoreItem xmlns:ds="http://schemas.openxmlformats.org/officeDocument/2006/customXml" ds:itemID="{AF87F702-58C6-43DD-951C-41C36BAAA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3b98f9-8d93-40d5-a079-1bdaa4cbdeaa"/>
    <ds:schemaRef ds:uri="e15dd586-3f09-4b79-af84-461bfab37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9F774-ACF9-409C-8905-BE0F68A5DE62}">
  <ds:schemaRefs>
    <ds:schemaRef ds:uri="http://schemas.microsoft.com/office/2006/metadata/properties"/>
    <ds:schemaRef ds:uri="http://schemas.microsoft.com/office/infopath/2007/PartnerControls"/>
    <ds:schemaRef ds:uri="e15dd586-3f09-4b79-af84-461bfab37be2"/>
    <ds:schemaRef ds:uri="a43b98f9-8d93-40d5-a079-1bdaa4cbde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30</vt:i4>
      </vt:variant>
    </vt:vector>
  </HeadingPairs>
  <TitlesOfParts>
    <vt:vector size="44" baseType="lpstr">
      <vt:lpstr>User instructions</vt:lpstr>
      <vt:lpstr>NCM act and schedules</vt:lpstr>
      <vt:lpstr>Activity database</vt:lpstr>
      <vt:lpstr>Restaurant and cafes calculator</vt:lpstr>
      <vt:lpstr>Cineman and Theatres</vt:lpstr>
      <vt:lpstr>Leisure centres</vt:lpstr>
      <vt:lpstr>Office calculator</vt:lpstr>
      <vt:lpstr>Retail calculator</vt:lpstr>
      <vt:lpstr>Industrial calculator</vt:lpstr>
      <vt:lpstr>Education calculator</vt:lpstr>
      <vt:lpstr>Multi-residential calculator</vt:lpstr>
      <vt:lpstr>Other building type calculator</vt:lpstr>
      <vt:lpstr>Average flow rate calculator</vt:lpstr>
      <vt:lpstr>Schedule of changes</vt:lpstr>
      <vt:lpstr>CreditsEdu</vt:lpstr>
      <vt:lpstr>CreditsInd</vt:lpstr>
      <vt:lpstr>CreditsOff</vt:lpstr>
      <vt:lpstr>CreditsOth</vt:lpstr>
      <vt:lpstr>CreditsRet</vt:lpstr>
      <vt:lpstr>ExcempInd</vt:lpstr>
      <vt:lpstr>ExempEdu</vt:lpstr>
      <vt:lpstr>ExempInd</vt:lpstr>
      <vt:lpstr>ExempOff</vt:lpstr>
      <vt:lpstr>ExempOth</vt:lpstr>
      <vt:lpstr>ExempRet</vt:lpstr>
      <vt:lpstr>Ind_act</vt:lpstr>
      <vt:lpstr>OffExemp</vt:lpstr>
      <vt:lpstr>PrecipEdu</vt:lpstr>
      <vt:lpstr>PrecipInd</vt:lpstr>
      <vt:lpstr>Precipitation_List</vt:lpstr>
      <vt:lpstr>Precipitation_zones</vt:lpstr>
      <vt:lpstr>PrecipOff</vt:lpstr>
      <vt:lpstr>PrecipRet</vt:lpstr>
      <vt:lpstr>RetExemp</vt:lpstr>
      <vt:lpstr>Wat01_building_type</vt:lpstr>
      <vt:lpstr>Wat01_buildingtype_range</vt:lpstr>
      <vt:lpstr>Wat01_Component_type_no_list</vt:lpstr>
      <vt:lpstr>Wat01_option01</vt:lpstr>
      <vt:lpstr>Wat01_option02</vt:lpstr>
      <vt:lpstr>Wat01_option03</vt:lpstr>
      <vt:lpstr>Wat01_option04</vt:lpstr>
      <vt:lpstr>Wat01_option05</vt:lpstr>
      <vt:lpstr>Wat01_option06</vt:lpstr>
      <vt:lpstr>Wat01_option07</vt:lpstr>
    </vt:vector>
  </TitlesOfParts>
  <Manager/>
  <Company>BRE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Bevan</dc:creator>
  <cp:keywords/>
  <dc:description/>
  <cp:lastModifiedBy>Nakul Patel</cp:lastModifiedBy>
  <cp:revision/>
  <dcterms:created xsi:type="dcterms:W3CDTF">2010-06-28T16:24:22Z</dcterms:created>
  <dcterms:modified xsi:type="dcterms:W3CDTF">2024-04-05T14:12:22Z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0x010100D8EF8B065924204DB359FE13A7942667</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Order">
    <vt:r8>24500</vt:r8>
  </property>
  <property fmtid="{D5CDD505-2E9C-101B-9397-08002B2CF9AE}" pid="10" name="MediaServiceImageTags">
    <vt:lpwstr/>
  </property>
</Properties>
</file>